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https://d.docs.live.net/91f16a127d3eb837/Documents/SSF/CONTRATO 2025/EJECUCION SSF 2025/MAPAS DE RIESGO/MAPAS DE RIESGOS 2025/"/>
    </mc:Choice>
  </mc:AlternateContent>
  <xr:revisionPtr revIDLastSave="47" documentId="8_{51914503-791F-4544-8361-2C754EC2A3D3}" xr6:coauthVersionLast="47" xr6:coauthVersionMax="47" xr10:uidLastSave="{6530F4B3-94C1-6D4A-81BB-07D8D34377BB}"/>
  <bookViews>
    <workbookView xWindow="0" yWindow="780" windowWidth="34200" windowHeight="19620" activeTab="1" xr2:uid="{00000000-000D-0000-FFFF-FFFF00000000}"/>
  </bookViews>
  <sheets>
    <sheet name="Intructivo" sheetId="1" r:id="rId1"/>
    <sheet name="Mapa final" sheetId="2" r:id="rId2"/>
    <sheet name="Opciones Tratamiento" sheetId="8" state="hidden" r:id="rId3"/>
    <sheet name="Matriz Calor Inherente" sheetId="3" state="hidden" r:id="rId4"/>
    <sheet name="Matriz Calor Residual" sheetId="4" state="hidden" r:id="rId5"/>
    <sheet name="Tabla probabilidad" sheetId="5" r:id="rId6"/>
    <sheet name="Tabla Impacto" sheetId="6" r:id="rId7"/>
    <sheet name="Tabla Valoración controles" sheetId="7" r:id="rId8"/>
    <sheet name="Hoja1" sheetId="9" state="hidden" r:id="rId9"/>
  </sheets>
  <externalReferences>
    <externalReference r:id="rId10"/>
    <externalReference r:id="rId11"/>
    <externalReference r:id="rId12"/>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5" i="2" l="1"/>
  <c r="AQ35" i="2"/>
  <c r="AO35" i="2"/>
  <c r="AN35" i="2"/>
  <c r="AT34" i="2"/>
  <c r="AQ34" i="2"/>
  <c r="AO34" i="2"/>
  <c r="AN34" i="2"/>
  <c r="AT33" i="2"/>
  <c r="AQ33" i="2"/>
  <c r="AO33" i="2"/>
  <c r="AN33" i="2"/>
  <c r="L33" i="2"/>
  <c r="M33" i="2" s="1"/>
  <c r="H33" i="2"/>
  <c r="AT32" i="2"/>
  <c r="AQ32" i="2"/>
  <c r="AO32" i="2"/>
  <c r="AN32" i="2"/>
  <c r="AT31" i="2"/>
  <c r="AQ31" i="2"/>
  <c r="AO31" i="2"/>
  <c r="AN31" i="2"/>
  <c r="L31" i="2"/>
  <c r="M31" i="2" s="1"/>
  <c r="H31" i="2"/>
  <c r="AT30" i="2"/>
  <c r="AQ30" i="2"/>
  <c r="AO30" i="2"/>
  <c r="AN30" i="2"/>
  <c r="L30" i="2"/>
  <c r="H30" i="2"/>
  <c r="AT29" i="2"/>
  <c r="AQ29" i="2"/>
  <c r="AO29" i="2"/>
  <c r="AN29" i="2"/>
  <c r="AT28" i="2"/>
  <c r="AQ28" i="2"/>
  <c r="AO28" i="2"/>
  <c r="AN28" i="2"/>
  <c r="L28" i="2"/>
  <c r="H28" i="2"/>
  <c r="AX33" i="2" l="1"/>
  <c r="AZ33" i="2" s="1"/>
  <c r="AX34" i="2" s="1"/>
  <c r="AX31" i="2"/>
  <c r="M30" i="2"/>
  <c r="AX30" i="2" s="1"/>
  <c r="M28" i="2"/>
  <c r="AX28" i="2" s="1"/>
  <c r="AY33" i="2" l="1"/>
  <c r="AZ34" i="2"/>
  <c r="AX35" i="2" s="1"/>
  <c r="AY34" i="2"/>
  <c r="AZ31" i="2"/>
  <c r="AX32" i="2" s="1"/>
  <c r="AY31" i="2"/>
  <c r="AZ30" i="2"/>
  <c r="AY30" i="2"/>
  <c r="AZ28" i="2"/>
  <c r="AX29" i="2" s="1"/>
  <c r="AY28" i="2"/>
  <c r="AZ32" i="2" l="1"/>
  <c r="AY32" i="2"/>
  <c r="AZ35" i="2"/>
  <c r="AY35" i="2"/>
  <c r="AZ29" i="2"/>
  <c r="AY29" i="2"/>
  <c r="O28" i="2"/>
  <c r="AI28" i="2" s="1"/>
  <c r="AJ28" i="2" l="1"/>
  <c r="BB28" i="2" s="1"/>
  <c r="AK28" i="2"/>
  <c r="BA28" i="2" l="1"/>
  <c r="BC28" i="2" s="1"/>
  <c r="BB29" i="2"/>
  <c r="BA29" i="2" s="1"/>
  <c r="BC29" i="2" s="1"/>
  <c r="AT27" i="2" l="1"/>
  <c r="AQ27" i="2"/>
  <c r="AO27" i="2"/>
  <c r="AN27" i="2"/>
  <c r="AT26" i="2"/>
  <c r="AQ26" i="2"/>
  <c r="AO26" i="2"/>
  <c r="AN26" i="2"/>
  <c r="AT25" i="2"/>
  <c r="AQ25" i="2"/>
  <c r="AO25" i="2"/>
  <c r="AN25" i="2"/>
  <c r="L25" i="2"/>
  <c r="M25" i="2" s="1"/>
  <c r="H25" i="2"/>
  <c r="AT24" i="2"/>
  <c r="AQ24" i="2"/>
  <c r="AO24" i="2"/>
  <c r="AN24" i="2"/>
  <c r="AT23" i="2"/>
  <c r="AQ23" i="2"/>
  <c r="AO23" i="2"/>
  <c r="AN23" i="2"/>
  <c r="AT22" i="2"/>
  <c r="AQ22" i="2"/>
  <c r="AO22" i="2"/>
  <c r="AN22" i="2"/>
  <c r="L22" i="2"/>
  <c r="H22" i="2"/>
  <c r="AT21" i="2"/>
  <c r="AQ21" i="2"/>
  <c r="AO21" i="2"/>
  <c r="AN21" i="2"/>
  <c r="AT20" i="2"/>
  <c r="AQ20" i="2"/>
  <c r="AO20" i="2"/>
  <c r="AN20" i="2"/>
  <c r="AT19" i="2"/>
  <c r="AQ19" i="2"/>
  <c r="AO19" i="2"/>
  <c r="AN19" i="2"/>
  <c r="L19" i="2"/>
  <c r="M19" i="2" s="1"/>
  <c r="H19" i="2"/>
  <c r="AT18" i="2"/>
  <c r="AQ18" i="2"/>
  <c r="AO18" i="2"/>
  <c r="AN18" i="2"/>
  <c r="AT17" i="2"/>
  <c r="AQ17" i="2"/>
  <c r="AO17" i="2"/>
  <c r="AN17" i="2"/>
  <c r="AT16" i="2"/>
  <c r="AQ16" i="2"/>
  <c r="AO16" i="2"/>
  <c r="AN16" i="2"/>
  <c r="L16" i="2"/>
  <c r="M16" i="2" s="1"/>
  <c r="H16" i="2"/>
  <c r="AX16" i="2" l="1"/>
  <c r="AY16" i="2" s="1"/>
  <c r="AX25" i="2"/>
  <c r="AZ25" i="2" s="1"/>
  <c r="AX26" i="2" s="1"/>
  <c r="M22" i="2"/>
  <c r="AX22" i="2" s="1"/>
  <c r="AX19" i="2"/>
  <c r="AY25" i="2" l="1"/>
  <c r="AZ16" i="2"/>
  <c r="AX17" i="2" s="1"/>
  <c r="AZ17" i="2" s="1"/>
  <c r="AX18" i="2" s="1"/>
  <c r="AY17" i="2"/>
  <c r="AZ22" i="2"/>
  <c r="AX23" i="2" s="1"/>
  <c r="AY22" i="2"/>
  <c r="AZ19" i="2"/>
  <c r="AX20" i="2" s="1"/>
  <c r="AY19" i="2"/>
  <c r="AZ26" i="2"/>
  <c r="AX27" i="2" s="1"/>
  <c r="AY26" i="2"/>
  <c r="AZ27" i="2" l="1"/>
  <c r="AY27" i="2"/>
  <c r="AZ23" i="2"/>
  <c r="AX24" i="2" s="1"/>
  <c r="AY23" i="2"/>
  <c r="AZ20" i="2"/>
  <c r="AX21" i="2" s="1"/>
  <c r="AY20" i="2"/>
  <c r="AZ18" i="2"/>
  <c r="AY18" i="2"/>
  <c r="AZ21" i="2" l="1"/>
  <c r="AY21" i="2"/>
  <c r="AY24" i="2"/>
  <c r="AZ24" i="2"/>
  <c r="O25" i="2" l="1"/>
  <c r="AI25" i="2" s="1"/>
  <c r="O19" i="2"/>
  <c r="AI19" i="2" s="1"/>
  <c r="O22" i="2"/>
  <c r="AI22" i="2" s="1"/>
  <c r="O16" i="2"/>
  <c r="AI16" i="2" s="1"/>
  <c r="AJ22" i="2" l="1"/>
  <c r="BB22" i="2" s="1"/>
  <c r="AK22" i="2"/>
  <c r="AK16" i="2"/>
  <c r="AJ16" i="2"/>
  <c r="BB16" i="2" s="1"/>
  <c r="AJ19" i="2"/>
  <c r="BB19" i="2" s="1"/>
  <c r="AK19" i="2"/>
  <c r="AK25" i="2"/>
  <c r="AJ25" i="2"/>
  <c r="BB25" i="2" s="1"/>
  <c r="BA25" i="2" l="1"/>
  <c r="BC25" i="2" s="1"/>
  <c r="BB27" i="2"/>
  <c r="BA27" i="2" s="1"/>
  <c r="BC27" i="2" s="1"/>
  <c r="BB26" i="2"/>
  <c r="BA26" i="2" s="1"/>
  <c r="BC26" i="2" s="1"/>
  <c r="BA19" i="2"/>
  <c r="BC19" i="2" s="1"/>
  <c r="BB20" i="2"/>
  <c r="BA16" i="2"/>
  <c r="BC16" i="2" s="1"/>
  <c r="BB17" i="2"/>
  <c r="BA17" i="2" s="1"/>
  <c r="BC17" i="2" s="1"/>
  <c r="BB18" i="2"/>
  <c r="BA18" i="2" s="1"/>
  <c r="BC18" i="2" s="1"/>
  <c r="BA22" i="2"/>
  <c r="BC22" i="2" s="1"/>
  <c r="BB23" i="2"/>
  <c r="BA23" i="2" s="1"/>
  <c r="BC23" i="2" s="1"/>
  <c r="BB24" i="2"/>
  <c r="BA24" i="2" s="1"/>
  <c r="BC24" i="2" s="1"/>
  <c r="BA20" i="2" l="1"/>
  <c r="BC20" i="2" s="1"/>
  <c r="BB21" i="2"/>
  <c r="BA21" i="2" s="1"/>
  <c r="BC21" i="2" s="1"/>
  <c r="AT8" i="2" l="1"/>
  <c r="AQ8" i="2"/>
  <c r="AT15" i="2"/>
  <c r="AQ15" i="2"/>
  <c r="AO15" i="2"/>
  <c r="AN15" i="2"/>
  <c r="L15" i="2"/>
  <c r="M15" i="2" s="1"/>
  <c r="H15" i="2"/>
  <c r="AT14" i="2"/>
  <c r="AQ14" i="2"/>
  <c r="AO14" i="2"/>
  <c r="AN14" i="2"/>
  <c r="L14" i="2"/>
  <c r="M14" i="2" s="1"/>
  <c r="H14" i="2"/>
  <c r="AX15" i="2" l="1"/>
  <c r="AZ15" i="2" s="1"/>
  <c r="AX14" i="2"/>
  <c r="AY15" i="2" l="1"/>
  <c r="AY14" i="2"/>
  <c r="AZ14" i="2"/>
  <c r="AT13" i="2" l="1"/>
  <c r="AQ13" i="2"/>
  <c r="AO13" i="2"/>
  <c r="AN13" i="2"/>
  <c r="AT12" i="2"/>
  <c r="AQ12" i="2"/>
  <c r="AO12" i="2"/>
  <c r="AN12" i="2"/>
  <c r="L12" i="2"/>
  <c r="M12" i="2" s="1"/>
  <c r="H12" i="2"/>
  <c r="AX12" i="2" l="1"/>
  <c r="AZ12" i="2" s="1"/>
  <c r="AX13" i="2" s="1"/>
  <c r="AY12" i="2" l="1"/>
  <c r="AZ13" i="2"/>
  <c r="AY13" i="2"/>
  <c r="H7" i="2" l="1"/>
  <c r="AN8" i="2" l="1"/>
  <c r="AN9" i="2"/>
  <c r="AN10" i="2"/>
  <c r="AN11" i="2"/>
  <c r="AN7" i="2"/>
  <c r="AT10" i="2"/>
  <c r="AQ7" i="2"/>
  <c r="AO7" i="2"/>
  <c r="AO8" i="2"/>
  <c r="AO9" i="2"/>
  <c r="AO10" i="2"/>
  <c r="AO11" i="2" l="1"/>
  <c r="L7" i="2"/>
  <c r="B223" i="6" l="1"/>
  <c r="B222" i="6"/>
  <c r="F221" i="6"/>
  <c r="B221" i="6"/>
  <c r="F220" i="6"/>
  <c r="F219" i="6"/>
  <c r="F218" i="6"/>
  <c r="F217" i="6"/>
  <c r="F216" i="6"/>
  <c r="F215" i="6"/>
  <c r="F214" i="6"/>
  <c r="F213" i="6"/>
  <c r="F212" i="6"/>
  <c r="F211" i="6"/>
  <c r="H210"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1" i="2"/>
  <c r="AQ11" i="2"/>
  <c r="AQ10" i="2"/>
  <c r="AT9" i="2"/>
  <c r="AQ9" i="2"/>
  <c r="AT7" i="2"/>
  <c r="M7" i="2"/>
  <c r="O14" i="2" l="1"/>
  <c r="AI14" i="2" s="1"/>
  <c r="AJ14" i="2" s="1"/>
  <c r="BB14" i="2" s="1"/>
  <c r="BA14" i="2" s="1"/>
  <c r="BC14" i="2" s="1"/>
  <c r="O15" i="2"/>
  <c r="AI15" i="2" s="1"/>
  <c r="O12" i="2"/>
  <c r="AI12" i="2" s="1"/>
  <c r="AJ12" i="2" s="1"/>
  <c r="BB12" i="2" s="1"/>
  <c r="Z16" i="3"/>
  <c r="N26" i="3"/>
  <c r="O7" i="2"/>
  <c r="AI7" i="2" s="1"/>
  <c r="AB18" i="3"/>
  <c r="L10" i="3"/>
  <c r="AX7" i="2"/>
  <c r="AK14" i="2" l="1"/>
  <c r="AJ15" i="2"/>
  <c r="BB15" i="2" s="1"/>
  <c r="BA15" i="2" s="1"/>
  <c r="BC15" i="2" s="1"/>
  <c r="AK15" i="2"/>
  <c r="BA12" i="2"/>
  <c r="BC12" i="2" s="1"/>
  <c r="BB13" i="2"/>
  <c r="AK12" i="2"/>
  <c r="AJ8" i="3"/>
  <c r="AH32" i="3"/>
  <c r="AH22" i="3"/>
  <c r="AG47" i="4"/>
  <c r="O46" i="4"/>
  <c r="N50" i="4"/>
  <c r="S38" i="4"/>
  <c r="AG50" i="4"/>
  <c r="K54" i="4"/>
  <c r="T42" i="4"/>
  <c r="S49" i="4"/>
  <c r="AE52" i="4"/>
  <c r="U39" i="4"/>
  <c r="M50" i="4"/>
  <c r="T44" i="4"/>
  <c r="AA42" i="4"/>
  <c r="R50" i="4"/>
  <c r="L26" i="3"/>
  <c r="AL16" i="3"/>
  <c r="N16" i="3"/>
  <c r="AL8" i="3"/>
  <c r="AF16" i="3"/>
  <c r="Z32" i="3"/>
  <c r="T32" i="3"/>
  <c r="AF8" i="3"/>
  <c r="AL40" i="3"/>
  <c r="Z8" i="3"/>
  <c r="Z40" i="3"/>
  <c r="N40" i="3"/>
  <c r="N8" i="3"/>
  <c r="N32" i="3"/>
  <c r="Z24" i="3"/>
  <c r="T24" i="3"/>
  <c r="AL32" i="3"/>
  <c r="AF32" i="3"/>
  <c r="AL24" i="3"/>
  <c r="T16" i="3"/>
  <c r="AJ44" i="4"/>
  <c r="T40" i="3"/>
  <c r="AF24" i="3"/>
  <c r="N24" i="3"/>
  <c r="AF40" i="3"/>
  <c r="R34" i="3"/>
  <c r="X18" i="3"/>
  <c r="AH14" i="3"/>
  <c r="X42" i="3"/>
  <c r="P6" i="3"/>
  <c r="AD42" i="3"/>
  <c r="T8"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AJ7" i="2"/>
  <c r="BB7" i="2" s="1"/>
  <c r="BB8" i="2" s="1"/>
  <c r="BA8" i="2" s="1"/>
  <c r="AK7" i="2"/>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AY7" i="2"/>
  <c r="AZ7" i="2"/>
  <c r="AX8" i="2" s="1"/>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U54" i="4"/>
  <c r="O54" i="4"/>
  <c r="AG44" i="4"/>
  <c r="AA44" i="4"/>
  <c r="O44" i="4"/>
  <c r="AG54" i="4"/>
  <c r="AM54" i="4"/>
  <c r="AM34" i="4"/>
  <c r="AA54" i="4"/>
  <c r="AM44" i="4"/>
  <c r="U44" i="4"/>
  <c r="U34" i="4"/>
  <c r="O34" i="4"/>
  <c r="AM24" i="4"/>
  <c r="AA24" i="4"/>
  <c r="O24" i="4"/>
  <c r="AA34" i="4"/>
  <c r="AG14" i="4"/>
  <c r="AA14" i="4"/>
  <c r="U24" i="4"/>
  <c r="U14" i="4"/>
  <c r="O14" i="4"/>
  <c r="AG34" i="4"/>
  <c r="AG24" i="4"/>
  <c r="AM14" i="4"/>
  <c r="AK54" i="4"/>
  <c r="AE54" i="4"/>
  <c r="Y54" i="4"/>
  <c r="S54" i="4"/>
  <c r="AK44" i="4"/>
  <c r="AE44" i="4"/>
  <c r="S44" i="4"/>
  <c r="Y44" i="4"/>
  <c r="M44" i="4"/>
  <c r="M54" i="4"/>
  <c r="AK34" i="4"/>
  <c r="AE34" i="4"/>
  <c r="Y34" i="4"/>
  <c r="S34" i="4"/>
  <c r="AE24" i="4"/>
  <c r="S24" i="4"/>
  <c r="M34" i="4"/>
  <c r="AK24" i="4"/>
  <c r="M24" i="4"/>
  <c r="AK14" i="4"/>
  <c r="AE14" i="4"/>
  <c r="Y14" i="4"/>
  <c r="S14" i="4"/>
  <c r="Y24" i="4"/>
  <c r="M14" i="4"/>
  <c r="AL50" i="4"/>
  <c r="Z10" i="4"/>
  <c r="AM48" i="4"/>
  <c r="AM38" i="4"/>
  <c r="AA38" i="4"/>
  <c r="O38" i="4"/>
  <c r="U48" i="4"/>
  <c r="AA48" i="4"/>
  <c r="AG38" i="4"/>
  <c r="O48" i="4"/>
  <c r="U38" i="4"/>
  <c r="AG48" i="4"/>
  <c r="AM28" i="4"/>
  <c r="AA28" i="4"/>
  <c r="O28" i="4"/>
  <c r="AM18" i="4"/>
  <c r="AA18" i="4"/>
  <c r="O18" i="4"/>
  <c r="AM8" i="4"/>
  <c r="AA8" i="4"/>
  <c r="O8" i="4"/>
  <c r="U28" i="4"/>
  <c r="AG18" i="4"/>
  <c r="AG8" i="4"/>
  <c r="U8" i="4"/>
  <c r="AG28" i="4"/>
  <c r="U18" i="4"/>
  <c r="AL47" i="4"/>
  <c r="Z47" i="4"/>
  <c r="N47" i="4"/>
  <c r="AF47" i="4"/>
  <c r="AL37" i="4"/>
  <c r="Z37" i="4"/>
  <c r="N37" i="4"/>
  <c r="AF37" i="4"/>
  <c r="T37" i="4"/>
  <c r="T47" i="4"/>
  <c r="AL27" i="4"/>
  <c r="Z27" i="4"/>
  <c r="N27" i="4"/>
  <c r="AL17" i="4"/>
  <c r="Z17" i="4"/>
  <c r="N17" i="4"/>
  <c r="T27" i="4"/>
  <c r="AF17" i="4"/>
  <c r="AF7" i="4"/>
  <c r="T7" i="4"/>
  <c r="AF27" i="4"/>
  <c r="T17" i="4"/>
  <c r="Z7" i="4"/>
  <c r="AL7" i="4"/>
  <c r="N7" i="4"/>
  <c r="AG22" i="4"/>
  <c r="AY8" i="2" l="1"/>
  <c r="BC8" i="2" s="1"/>
  <c r="AZ8" i="2"/>
  <c r="AX9" i="2" s="1"/>
  <c r="AZ9" i="2" s="1"/>
  <c r="AX10" i="2" s="1"/>
  <c r="AY10" i="2" s="1"/>
  <c r="BA13" i="2"/>
  <c r="BC13" i="2" s="1"/>
  <c r="AM32" i="4"/>
  <c r="O52" i="4"/>
  <c r="Y22" i="4"/>
  <c r="AK22" i="4"/>
  <c r="Y52" i="4"/>
  <c r="S12" i="4"/>
  <c r="S32" i="4"/>
  <c r="S22" i="4"/>
  <c r="Y42" i="4"/>
  <c r="AK52" i="4"/>
  <c r="AK30" i="4"/>
  <c r="M10" i="4"/>
  <c r="AE10" i="4"/>
  <c r="S20" i="4"/>
  <c r="S50" i="4"/>
  <c r="AK40" i="4"/>
  <c r="AM27" i="4"/>
  <c r="O17" i="4"/>
  <c r="K47" i="4"/>
  <c r="AM37" i="4"/>
  <c r="AA27" i="4"/>
  <c r="AG17" i="4"/>
  <c r="AG27" i="4"/>
  <c r="O37" i="4"/>
  <c r="O27" i="4"/>
  <c r="U47" i="4"/>
  <c r="V47" i="4"/>
  <c r="AM42" i="4"/>
  <c r="M22" i="4"/>
  <c r="M52" i="4"/>
  <c r="AM7" i="4"/>
  <c r="O47" i="4"/>
  <c r="U52" i="4"/>
  <c r="M32" i="4"/>
  <c r="M42" i="4"/>
  <c r="AM17" i="4"/>
  <c r="AM47" i="4"/>
  <c r="Z30" i="4"/>
  <c r="AF30" i="4"/>
  <c r="Z20" i="4"/>
  <c r="Z40" i="4"/>
  <c r="AJ40" i="3"/>
  <c r="AJ24" i="3"/>
  <c r="AD24" i="3"/>
  <c r="R16" i="3"/>
  <c r="Y10" i="4"/>
  <c r="AE50" i="4"/>
  <c r="M30" i="4"/>
  <c r="S10" i="4"/>
  <c r="Y40" i="4"/>
  <c r="R24" i="3"/>
  <c r="X8" i="3"/>
  <c r="AJ16" i="3"/>
  <c r="AE20" i="4"/>
  <c r="AD40" i="3"/>
  <c r="AJ32" i="3"/>
  <c r="AH50" i="4"/>
  <c r="L32" i="3"/>
  <c r="X16" i="3"/>
  <c r="X40" i="3"/>
  <c r="R32" i="3"/>
  <c r="L24" i="3"/>
  <c r="X24" i="3"/>
  <c r="AD32" i="3"/>
  <c r="X32" i="3"/>
  <c r="L16" i="3"/>
  <c r="R40" i="3"/>
  <c r="AD16" i="3"/>
  <c r="R8" i="3"/>
  <c r="L40" i="3"/>
  <c r="AD8" i="3"/>
  <c r="L8" i="3"/>
  <c r="T50" i="4"/>
  <c r="T10" i="4"/>
  <c r="T20" i="4"/>
  <c r="AL40" i="4"/>
  <c r="N30" i="4"/>
  <c r="AL10" i="4"/>
  <c r="Z50" i="4"/>
  <c r="AF40" i="4"/>
  <c r="AL30" i="4"/>
  <c r="N20" i="4"/>
  <c r="AF20" i="4"/>
  <c r="N40" i="4"/>
  <c r="AF50" i="4"/>
  <c r="AF10" i="4"/>
  <c r="N10" i="4"/>
  <c r="AL20" i="4"/>
  <c r="T30" i="4"/>
  <c r="T40" i="4"/>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J14" i="3"/>
  <c r="AD14" i="3"/>
  <c r="O6" i="4"/>
  <c r="U46" i="4"/>
  <c r="U16" i="4"/>
  <c r="BA7" i="2"/>
  <c r="AB46" i="4" s="1"/>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K10" i="4"/>
  <c r="Y50" i="4"/>
  <c r="AE22" i="4"/>
  <c r="U9" i="4"/>
  <c r="U32" i="4"/>
  <c r="M20" i="4"/>
  <c r="AE30" i="4"/>
  <c r="S40" i="4"/>
  <c r="AE12" i="4"/>
  <c r="AE32" i="4"/>
  <c r="S42" i="4"/>
  <c r="Y9" i="4"/>
  <c r="M49" i="4"/>
  <c r="AE49" i="4"/>
  <c r="AA29" i="4"/>
  <c r="AG9" i="4"/>
  <c r="O39" i="4"/>
  <c r="O29" i="4"/>
  <c r="AM39" i="4"/>
  <c r="AA32" i="4"/>
  <c r="AE40" i="4"/>
  <c r="AE42" i="4"/>
  <c r="O9" i="4"/>
  <c r="U19" i="4"/>
  <c r="AG49" i="4"/>
  <c r="AG29" i="4"/>
  <c r="O49" i="4"/>
  <c r="AA39" i="4"/>
  <c r="U49" i="4"/>
  <c r="AM29" i="4"/>
  <c r="O12" i="4"/>
  <c r="S30" i="4"/>
  <c r="M12" i="4"/>
  <c r="AK42" i="4"/>
  <c r="AM19" i="4"/>
  <c r="AM49" i="4"/>
  <c r="AK20" i="4"/>
  <c r="M40" i="4"/>
  <c r="AK12" i="4"/>
  <c r="AK32" i="4"/>
  <c r="AG32" i="4"/>
  <c r="Y20" i="4"/>
  <c r="Y30" i="4"/>
  <c r="AK50" i="4"/>
  <c r="Y12" i="4"/>
  <c r="Y32" i="4"/>
  <c r="S52" i="4"/>
  <c r="S29" i="4"/>
  <c r="M19" i="4"/>
  <c r="AA9" i="4"/>
  <c r="AG19" i="4"/>
  <c r="X20" i="4"/>
  <c r="L30" i="4"/>
  <c r="X30" i="4"/>
  <c r="L10" i="4"/>
  <c r="AJ40" i="4"/>
  <c r="AJ20" i="4"/>
  <c r="R20" i="4"/>
  <c r="AD50" i="4"/>
  <c r="AD30" i="4"/>
  <c r="L40" i="4"/>
  <c r="R10" i="4"/>
  <c r="L50" i="4"/>
  <c r="T14" i="4"/>
  <c r="X50" i="4"/>
  <c r="AJ14" i="4"/>
  <c r="Z24" i="4"/>
  <c r="AF14" i="4"/>
  <c r="AF34" i="4"/>
  <c r="AJ10" i="4"/>
  <c r="AD20" i="4"/>
  <c r="R40" i="4"/>
  <c r="AJ50" i="4"/>
  <c r="R54" i="4"/>
  <c r="N34" i="4"/>
  <c r="N44" i="4"/>
  <c r="T54" i="4"/>
  <c r="T34" i="4"/>
  <c r="AJ30" i="4"/>
  <c r="X10" i="4"/>
  <c r="R30" i="4"/>
  <c r="X40" i="4"/>
  <c r="L34" i="4"/>
  <c r="X14" i="4"/>
  <c r="N14" i="4"/>
  <c r="AF54" i="4"/>
  <c r="AD10" i="4"/>
  <c r="AL34" i="4"/>
  <c r="T24" i="4"/>
  <c r="N54" i="4"/>
  <c r="Z14" i="4"/>
  <c r="AF24" i="4"/>
  <c r="L20" i="4"/>
  <c r="AD40"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H51" i="4"/>
  <c r="V51" i="4"/>
  <c r="J51" i="4"/>
  <c r="P51" i="4"/>
  <c r="AH31" i="4"/>
  <c r="AH41" i="4"/>
  <c r="AB41" i="4"/>
  <c r="V41" i="4"/>
  <c r="P41" i="4"/>
  <c r="AB51" i="4"/>
  <c r="J41" i="4"/>
  <c r="V31" i="4"/>
  <c r="J31" i="4"/>
  <c r="AH21" i="4"/>
  <c r="V21" i="4"/>
  <c r="J21" i="4"/>
  <c r="AB31" i="4"/>
  <c r="P21" i="4"/>
  <c r="AB11" i="4"/>
  <c r="P11" i="4"/>
  <c r="P31" i="4"/>
  <c r="AB21" i="4"/>
  <c r="AH11" i="4"/>
  <c r="J11" i="4"/>
  <c r="V11" i="4"/>
  <c r="AD55" i="4"/>
  <c r="R55" i="4"/>
  <c r="AD45" i="4"/>
  <c r="R45" i="4"/>
  <c r="L55" i="4"/>
  <c r="X45" i="4"/>
  <c r="L45" i="4"/>
  <c r="AJ55" i="4"/>
  <c r="X55" i="4"/>
  <c r="AJ45" i="4"/>
  <c r="AD35" i="4"/>
  <c r="R35" i="4"/>
  <c r="AJ35" i="4"/>
  <c r="X35" i="4"/>
  <c r="AD25" i="4"/>
  <c r="R25" i="4"/>
  <c r="AD15" i="4"/>
  <c r="R15" i="4"/>
  <c r="L35" i="4"/>
  <c r="X25" i="4"/>
  <c r="X15" i="4"/>
  <c r="L15" i="4"/>
  <c r="AJ25" i="4"/>
  <c r="L25" i="4"/>
  <c r="AJ15"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I51" i="4"/>
  <c r="AC51" i="4"/>
  <c r="AC41" i="4"/>
  <c r="Q41" i="4"/>
  <c r="AI41" i="4"/>
  <c r="W51" i="4"/>
  <c r="W41" i="4"/>
  <c r="K51" i="4"/>
  <c r="K41" i="4"/>
  <c r="Q51" i="4"/>
  <c r="AI31" i="4"/>
  <c r="AC31" i="4"/>
  <c r="Q31" i="4"/>
  <c r="AC21" i="4"/>
  <c r="Q21" i="4"/>
  <c r="AC11" i="4"/>
  <c r="Q11" i="4"/>
  <c r="K31" i="4"/>
  <c r="W21" i="4"/>
  <c r="AI11" i="4"/>
  <c r="W11" i="4"/>
  <c r="K11" i="4"/>
  <c r="W31" i="4"/>
  <c r="AI21" i="4"/>
  <c r="K21" i="4"/>
  <c r="AD53" i="4"/>
  <c r="R53" i="4"/>
  <c r="X53" i="4"/>
  <c r="AD43" i="4"/>
  <c r="R43" i="4"/>
  <c r="L53" i="4"/>
  <c r="AD33" i="4"/>
  <c r="R33" i="4"/>
  <c r="AJ43" i="4"/>
  <c r="L43" i="4"/>
  <c r="AJ53" i="4"/>
  <c r="X43" i="4"/>
  <c r="X33" i="4"/>
  <c r="AD23" i="4"/>
  <c r="R23" i="4"/>
  <c r="AD13" i="4"/>
  <c r="R13" i="4"/>
  <c r="L33" i="4"/>
  <c r="AJ33" i="4"/>
  <c r="AJ23" i="4"/>
  <c r="L23" i="4"/>
  <c r="AJ13" i="4"/>
  <c r="X13" i="4"/>
  <c r="X23" i="4"/>
  <c r="L13" i="4"/>
  <c r="AD51" i="4"/>
  <c r="R51" i="4"/>
  <c r="AJ51" i="4"/>
  <c r="X51" i="4"/>
  <c r="AD41" i="4"/>
  <c r="X41" i="4"/>
  <c r="AD31" i="4"/>
  <c r="L51" i="4"/>
  <c r="R41" i="4"/>
  <c r="L41" i="4"/>
  <c r="AJ41" i="4"/>
  <c r="AJ31" i="4"/>
  <c r="R31" i="4"/>
  <c r="AD21" i="4"/>
  <c r="R21" i="4"/>
  <c r="L31" i="4"/>
  <c r="X21" i="4"/>
  <c r="AJ11" i="4"/>
  <c r="X11" i="4"/>
  <c r="L11" i="4"/>
  <c r="X31" i="4"/>
  <c r="AJ21" i="4"/>
  <c r="L21" i="4"/>
  <c r="R11" i="4"/>
  <c r="AD11" i="4"/>
  <c r="AM55" i="4"/>
  <c r="AG55" i="4"/>
  <c r="AA55" i="4"/>
  <c r="U55" i="4"/>
  <c r="AM45" i="4"/>
  <c r="AG45" i="4"/>
  <c r="O45" i="4"/>
  <c r="U45" i="4"/>
  <c r="AG35" i="4"/>
  <c r="U35" i="4"/>
  <c r="O55" i="4"/>
  <c r="AA45" i="4"/>
  <c r="O35" i="4"/>
  <c r="AA35" i="4"/>
  <c r="AG25" i="4"/>
  <c r="U25" i="4"/>
  <c r="AM35" i="4"/>
  <c r="AM25" i="4"/>
  <c r="O25" i="4"/>
  <c r="AM15" i="4"/>
  <c r="AG15" i="4"/>
  <c r="AA15" i="4"/>
  <c r="U15" i="4"/>
  <c r="AA25" i="4"/>
  <c r="O15" i="4"/>
  <c r="AH17" i="4" l="1"/>
  <c r="V7" i="4"/>
  <c r="J27" i="4"/>
  <c r="J37" i="4"/>
  <c r="AH7" i="4"/>
  <c r="J17" i="4"/>
  <c r="AB47" i="4"/>
  <c r="V17" i="4"/>
  <c r="J7" i="4"/>
  <c r="V37" i="4"/>
  <c r="P27" i="4"/>
  <c r="AH37" i="4"/>
  <c r="AB27" i="4"/>
  <c r="P47" i="4"/>
  <c r="P7" i="4"/>
  <c r="V27" i="4"/>
  <c r="J47" i="4"/>
  <c r="AB7" i="4"/>
  <c r="AH27" i="4"/>
  <c r="AH47" i="4"/>
  <c r="P17" i="4"/>
  <c r="AB37" i="4"/>
  <c r="AB17" i="4"/>
  <c r="P37" i="4"/>
  <c r="AY9" i="2"/>
  <c r="AH28" i="4"/>
  <c r="P9" i="4"/>
  <c r="AH10" i="4"/>
  <c r="J40" i="4"/>
  <c r="V40" i="4"/>
  <c r="P20" i="4"/>
  <c r="V20" i="4"/>
  <c r="AB10" i="4"/>
  <c r="P50" i="4"/>
  <c r="AH20" i="4"/>
  <c r="AH40" i="4"/>
  <c r="AB50" i="4"/>
  <c r="V30" i="4"/>
  <c r="AB20" i="4"/>
  <c r="AB40" i="4"/>
  <c r="P8" i="4"/>
  <c r="P10" i="4"/>
  <c r="J30" i="4"/>
  <c r="V50" i="4"/>
  <c r="J10" i="4"/>
  <c r="P30" i="4"/>
  <c r="P40" i="4"/>
  <c r="J20" i="4"/>
  <c r="V10" i="4"/>
  <c r="AH30" i="4"/>
  <c r="AB30" i="4"/>
  <c r="J50" i="4"/>
  <c r="AB8" i="4"/>
  <c r="V28" i="4"/>
  <c r="AB48" i="4"/>
  <c r="AH48" i="4"/>
  <c r="J28" i="4"/>
  <c r="V8" i="4"/>
  <c r="V18" i="4"/>
  <c r="J48" i="4"/>
  <c r="AB38" i="4"/>
  <c r="P38" i="4"/>
  <c r="P48" i="4"/>
  <c r="AB28" i="4"/>
  <c r="P18" i="4"/>
  <c r="J38" i="4"/>
  <c r="P28" i="4"/>
  <c r="V38" i="4"/>
  <c r="J8" i="4"/>
  <c r="AB18" i="4"/>
  <c r="J18" i="4"/>
  <c r="AH18" i="4"/>
  <c r="V48" i="4"/>
  <c r="AH8" i="4"/>
  <c r="P6" i="4"/>
  <c r="AH16" i="4"/>
  <c r="J46" i="4"/>
  <c r="AZ10" i="2"/>
  <c r="AX11" i="2" s="1"/>
  <c r="W47" i="4"/>
  <c r="Q47" i="4"/>
  <c r="K27" i="4"/>
  <c r="AI27" i="4"/>
  <c r="Q27" i="4"/>
  <c r="AC17" i="4"/>
  <c r="AC27" i="4"/>
  <c r="K7" i="4"/>
  <c r="AC7" i="4"/>
  <c r="Q37" i="4"/>
  <c r="W7" i="4"/>
  <c r="Q17" i="4"/>
  <c r="AC37" i="4"/>
  <c r="AI17" i="4"/>
  <c r="AI7" i="4"/>
  <c r="W37" i="4"/>
  <c r="W17" i="4"/>
  <c r="AI37" i="4"/>
  <c r="AC47" i="4"/>
  <c r="W27" i="4"/>
  <c r="K17" i="4"/>
  <c r="Q7" i="4"/>
  <c r="K37" i="4"/>
  <c r="AI47" i="4"/>
  <c r="P16" i="4"/>
  <c r="AB26" i="4"/>
  <c r="V6" i="4"/>
  <c r="AH36" i="4"/>
  <c r="J26" i="4"/>
  <c r="AH46" i="4"/>
  <c r="V16" i="4"/>
  <c r="AH6" i="4"/>
  <c r="P26" i="4"/>
  <c r="V46" i="4"/>
  <c r="P46" i="4"/>
  <c r="BC7" i="2"/>
  <c r="J6" i="4"/>
  <c r="AH26" i="4"/>
  <c r="J36" i="4"/>
  <c r="AB36" i="4"/>
  <c r="AB6" i="4"/>
  <c r="V26" i="4"/>
  <c r="J16" i="4"/>
  <c r="AB16" i="4"/>
  <c r="V36" i="4"/>
  <c r="P36" i="4"/>
  <c r="BB9" i="2"/>
  <c r="AY11" i="2" l="1"/>
  <c r="AZ11" i="2"/>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Q50" i="4"/>
  <c r="K40" i="4"/>
  <c r="AI30" i="4"/>
  <c r="W20" i="4"/>
  <c r="K10" i="4"/>
  <c r="Q10" i="4"/>
  <c r="K50" i="4"/>
  <c r="W30" i="4"/>
  <c r="Q30" i="4"/>
  <c r="AI50" i="4"/>
  <c r="K20" i="4"/>
  <c r="AC30" i="4"/>
  <c r="W50" i="4"/>
  <c r="AC40" i="4"/>
  <c r="AI20" i="4"/>
  <c r="AC10" i="4"/>
  <c r="AC50" i="4"/>
  <c r="AI40" i="4"/>
  <c r="Q40" i="4"/>
  <c r="K30" i="4"/>
  <c r="AI10" i="4"/>
  <c r="AC20" i="4"/>
  <c r="Q20" i="4"/>
  <c r="W40" i="4"/>
  <c r="W10"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AK47" i="4"/>
  <c r="AE47" i="4"/>
  <c r="AK27" i="4"/>
  <c r="S7" i="4"/>
  <c r="M37" i="4"/>
  <c r="Y17" i="4"/>
  <c r="M7" i="4"/>
  <c r="AK7" i="4"/>
  <c r="AE37" i="4"/>
  <c r="Y37" i="4"/>
  <c r="S17" i="4"/>
  <c r="AE27" i="4"/>
  <c r="M47" i="4"/>
  <c r="S27" i="4"/>
  <c r="S47" i="4"/>
  <c r="AK37" i="4"/>
  <c r="M27" i="4"/>
  <c r="Y7" i="4"/>
  <c r="Y27" i="4"/>
  <c r="AE17" i="4"/>
  <c r="Y47" i="4"/>
  <c r="AK17" i="4"/>
  <c r="M17" i="4"/>
  <c r="S37" i="4"/>
  <c r="AE7" i="4"/>
  <c r="X27" i="4"/>
  <c r="X37" i="4"/>
  <c r="X7" i="4"/>
  <c r="R7" i="4"/>
  <c r="X47" i="4"/>
  <c r="AJ17" i="4"/>
  <c r="R37" i="4"/>
  <c r="AJ7" i="4"/>
  <c r="R47" i="4"/>
  <c r="AD7" i="4"/>
  <c r="AD47" i="4"/>
  <c r="L47" i="4"/>
  <c r="AJ37" i="4"/>
  <c r="R17" i="4"/>
  <c r="L7" i="4"/>
  <c r="L17" i="4"/>
  <c r="AJ27" i="4"/>
  <c r="AD37" i="4"/>
  <c r="AD17" i="4"/>
  <c r="AD27" i="4"/>
  <c r="X17" i="4"/>
  <c r="L37" i="4"/>
  <c r="R27" i="4"/>
  <c r="L27" i="4"/>
  <c r="AJ47" i="4"/>
  <c r="W46" i="4"/>
  <c r="K46" i="4"/>
  <c r="AI26" i="4"/>
  <c r="W6" i="4"/>
  <c r="AC16" i="4"/>
  <c r="AC26" i="4"/>
  <c r="Q46" i="4"/>
  <c r="AI16" i="4"/>
  <c r="AI36" i="4"/>
  <c r="AC46" i="4"/>
  <c r="W26" i="4"/>
  <c r="K6" i="4"/>
  <c r="W16" i="4"/>
  <c r="Q16" i="4"/>
  <c r="K36" i="4"/>
  <c r="AI6" i="4"/>
  <c r="AI46" i="4"/>
  <c r="W36" i="4"/>
  <c r="Q36" i="4"/>
  <c r="K26" i="4"/>
  <c r="Q26" i="4"/>
  <c r="AC6" i="4"/>
  <c r="K16" i="4"/>
  <c r="AC36" i="4"/>
  <c r="Q6" i="4"/>
  <c r="BA9" i="2"/>
  <c r="BB10" i="2"/>
  <c r="BA10" i="2" l="1"/>
  <c r="Y46" i="4" s="1"/>
  <c r="BB11" i="2"/>
  <c r="BA11" i="2" s="1"/>
  <c r="AK16" i="4"/>
  <c r="Y26" i="4"/>
  <c r="AK26" i="4"/>
  <c r="AK46" i="4"/>
  <c r="M46" i="4"/>
  <c r="AE26" i="4"/>
  <c r="AE16" i="4"/>
  <c r="Y16" i="4"/>
  <c r="M2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BC9" i="2"/>
  <c r="M36" i="4" l="1"/>
  <c r="S46" i="4"/>
  <c r="BC10" i="2"/>
  <c r="AK36" i="4"/>
  <c r="AE46" i="4"/>
  <c r="Y6" i="4"/>
  <c r="M6" i="4"/>
  <c r="AK6" i="4"/>
  <c r="M16" i="4"/>
  <c r="S6" i="4"/>
  <c r="Y36" i="4"/>
  <c r="S36" i="4"/>
  <c r="T46" i="4"/>
  <c r="N36" i="4"/>
  <c r="AL6" i="4"/>
  <c r="BC11" i="2"/>
  <c r="T36" i="4"/>
  <c r="Z16" i="4"/>
  <c r="AF46" i="4"/>
  <c r="AF6" i="4"/>
  <c r="Z46" i="4"/>
  <c r="AF26" i="4"/>
  <c r="Z6" i="4"/>
  <c r="N46" i="4"/>
  <c r="T26" i="4"/>
  <c r="N6" i="4"/>
  <c r="AF16" i="4"/>
  <c r="AL26" i="4"/>
  <c r="AF36" i="4"/>
  <c r="N26" i="4"/>
  <c r="Z26" i="4"/>
  <c r="AL36" i="4"/>
  <c r="N16" i="4"/>
  <c r="AL46" i="4"/>
  <c r="T16" i="4"/>
  <c r="AL16" i="4"/>
  <c r="Z36" i="4"/>
  <c r="T6" i="4"/>
  <c r="O31" i="2" l="1"/>
  <c r="AI31" i="2" s="1"/>
  <c r="O30" i="2"/>
  <c r="AI30" i="2" s="1"/>
  <c r="O33" i="2"/>
  <c r="AI33" i="2" s="1"/>
  <c r="AK33" i="2" l="1"/>
  <c r="AJ33" i="2"/>
  <c r="BB33" i="2" s="1"/>
  <c r="AJ30" i="2"/>
  <c r="BB30" i="2" s="1"/>
  <c r="BA30" i="2" s="1"/>
  <c r="BC30" i="2" s="1"/>
  <c r="AK30" i="2"/>
  <c r="AJ31" i="2"/>
  <c r="BB31" i="2" s="1"/>
  <c r="AK31" i="2"/>
  <c r="BA33" i="2" l="1"/>
  <c r="BC33" i="2" s="1"/>
  <c r="BB34" i="2"/>
  <c r="BA31" i="2"/>
  <c r="BC31" i="2" s="1"/>
  <c r="BB32" i="2"/>
  <c r="BA32" i="2" s="1"/>
  <c r="BC32" i="2" s="1"/>
  <c r="BA34" i="2" l="1"/>
  <c r="BC34" i="2" s="1"/>
  <c r="BB35" i="2"/>
  <c r="BA35" i="2" s="1"/>
  <c r="BC35" i="2" s="1"/>
</calcChain>
</file>

<file path=xl/sharedStrings.xml><?xml version="1.0" encoding="utf-8"?>
<sst xmlns="http://schemas.openxmlformats.org/spreadsheetml/2006/main" count="815" uniqueCount="454">
  <si>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</si>
  <si>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</si>
  <si>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</si>
  <si>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</si>
  <si>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</si>
  <si>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</si>
  <si>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</si>
  <si>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</si>
  <si>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</si>
  <si>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</si>
  <si>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</si>
  <si>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</si>
  <si>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</si>
  <si>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</si>
  <si>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</si>
  <si>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</si>
  <si>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</si>
  <si>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</si>
  <si>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</si>
  <si>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</si>
  <si>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</si>
  <si>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</si>
  <si>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</si>
  <si>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</si>
  <si>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</si>
  <si>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</si>
  <si>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</si>
  <si>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</si>
  <si>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</si>
  <si>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</si>
  <si>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</si>
  <si>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</si>
  <si>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</si>
  <si>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</si>
  <si>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</si>
  <si>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</si>
  <si>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</si>
  <si>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</si>
  <si>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</si>
  <si>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</si>
  <si>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</si>
  <si>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</si>
  <si>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</si>
  <si>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</si>
  <si>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</si>
  <si>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</si>
  <si>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</si>
  <si>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</si>
  <si>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</si>
  <si>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</si>
  <si>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</si>
  <si>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</si>
  <si>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</si>
  <si>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</si>
  <si>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</si>
  <si>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</si>
  <si>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</si>
  <si>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</si>
  <si>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</si>
  <si>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</si>
  <si>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</si>
  <si>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</si>
  <si>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</si>
  <si>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</si>
  <si>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</si>
  <si>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</si>
  <si>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</si>
  <si>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</si>
  <si>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</si>
  <si>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</si>
  <si>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</si>
  <si>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</si>
  <si>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</si>
  <si>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</si>
  <si>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</si>
  <si>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</si>
  <si>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</si>
  <si>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</si>
  <si>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</si>
  <si>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</si>
  <si>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</si>
  <si>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</si>
  <si>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</si>
  <si>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</si>
  <si>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</si>
  <si>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</si>
  <si>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</si>
  <si>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</si>
  <si>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</si>
  <si>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</si>
  <si>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</si>
  <si>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</si>
  <si>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</si>
  <si>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</si>
  <si>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</si>
  <si>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</si>
  <si>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</si>
  <si>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</si>
  <si>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</si>
  <si>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</si>
  <si>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</si>
  <si>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</si>
  <si>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</si>
  <si>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</si>
  <si>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</si>
  <si>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</si>
  <si>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</si>
  <si>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</si>
  <si>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</si>
  <si>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</si>
  <si>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</si>
  <si>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</si>
  <si>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</si>
  <si>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</si>
  <si>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</si>
  <si>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</si>
  <si>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</si>
  <si>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</si>
  <si>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</si>
  <si>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</si>
  <si>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</si>
  <si>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</si>
  <si>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</si>
  <si>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</si>
  <si>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</si>
  <si>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</si>
  <si>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</si>
  <si>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</si>
  <si>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</si>
  <si>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</si>
  <si>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</si>
  <si>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</si>
  <si>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</si>
  <si>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</si>
  <si>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</si>
  <si>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</si>
  <si>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</si>
  <si>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</si>
  <si>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</si>
  <si>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</si>
  <si>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</si>
  <si>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</si>
  <si>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</si>
  <si>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</si>
  <si>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</si>
  <si>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</si>
  <si>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</si>
  <si>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</si>
  <si>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</si>
  <si>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</si>
  <si>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</si>
  <si>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</si>
  <si>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</si>
  <si>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</si>
  <si>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</si>
  <si>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</si>
  <si>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</si>
  <si>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</si>
  <si>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</si>
  <si>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</si>
  <si>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</si>
  <si>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</si>
  <si>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</si>
  <si>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</si>
  <si>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</si>
  <si>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</si>
  <si>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</si>
  <si>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</si>
  <si>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</si>
  <si>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</si>
  <si>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</si>
  <si>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</si>
  <si>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</si>
  <si>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</si>
  <si>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</si>
  <si>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</si>
  <si>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</si>
  <si>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</si>
  <si>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</si>
  <si>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</si>
  <si>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</si>
  <si>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</si>
  <si>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</si>
  <si>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</si>
  <si>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</si>
  <si>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</si>
  <si>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</si>
  <si>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</si>
  <si>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</si>
  <si>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</si>
  <si>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</si>
  <si>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</si>
  <si>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</si>
  <si>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</si>
  <si>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</si>
  <si>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</si>
  <si>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</si>
  <si>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</si>
  <si>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</si>
  <si>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</si>
  <si>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</si>
  <si>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</si>
  <si>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</si>
  <si>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</si>
  <si>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</si>
  <si>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</si>
  <si>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</si>
  <si>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Tipo de Riesgo</t>
  </si>
  <si>
    <t>Activo de información</t>
  </si>
  <si>
    <t>Activos de información</t>
  </si>
  <si>
    <t>No Aplica</t>
  </si>
  <si>
    <t>Columna6</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</si>
  <si>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</si>
  <si>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</si>
  <si>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</si>
  <si>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</si>
  <si>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</si>
  <si>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</si>
  <si>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</si>
  <si>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</si>
  <si>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</si>
  <si>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</si>
  <si>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</si>
  <si>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</si>
  <si>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</si>
  <si>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</si>
  <si>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</si>
  <si>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</si>
  <si>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</si>
  <si>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</si>
  <si>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</si>
  <si>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</si>
  <si>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</si>
  <si>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</si>
  <si>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</si>
  <si>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</si>
  <si>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</si>
  <si>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</si>
  <si>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</si>
  <si>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</si>
  <si>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</si>
  <si>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</si>
  <si>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</si>
  <si>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</si>
  <si>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</si>
  <si>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</si>
  <si>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</si>
  <si>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</si>
  <si>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</si>
  <si>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</si>
  <si>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</si>
  <si>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</si>
  <si>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</si>
  <si>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</si>
  <si>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</si>
  <si>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</si>
  <si>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</si>
  <si>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</si>
  <si>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</si>
  <si>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</si>
  <si>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</si>
  <si>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</si>
  <si>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</si>
  <si>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</si>
  <si>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</si>
  <si>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</si>
  <si>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</si>
  <si>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</si>
  <si>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</si>
  <si>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</si>
  <si>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</si>
  <si>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</si>
  <si>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</si>
  <si>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</si>
  <si>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</si>
  <si>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</si>
  <si>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</si>
  <si>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</si>
  <si>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</si>
  <si>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</si>
  <si>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</si>
  <si>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</si>
  <si>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</si>
  <si>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</si>
  <si>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</si>
  <si>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</si>
  <si>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</si>
  <si>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</si>
  <si>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</si>
  <si>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</si>
  <si>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</si>
  <si>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</si>
  <si>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</si>
  <si>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</si>
  <si>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</si>
  <si>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</si>
  <si>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</si>
  <si>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</si>
  <si>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</si>
  <si>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</si>
  <si>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</si>
  <si>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</si>
  <si>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</si>
  <si>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</si>
  <si>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</si>
  <si>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</si>
  <si>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</si>
  <si>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</si>
  <si>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</si>
  <si>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</si>
  <si>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</si>
  <si>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</si>
  <si>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</si>
  <si>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</si>
  <si>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</si>
  <si>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</si>
  <si>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</si>
  <si>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</si>
  <si>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</si>
  <si>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</si>
  <si>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</si>
  <si>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</si>
  <si>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</si>
  <si>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</si>
  <si>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</si>
  <si>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</si>
  <si>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</si>
  <si>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</si>
  <si>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</si>
  <si>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</si>
  <si>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</si>
  <si>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</si>
  <si>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</si>
  <si>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</si>
  <si>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</si>
  <si>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</si>
  <si>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</si>
  <si>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</si>
  <si>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</si>
  <si>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</si>
  <si>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</si>
  <si>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</si>
  <si>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</si>
  <si>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</si>
  <si>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</si>
  <si>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</si>
  <si>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</si>
  <si>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</si>
  <si>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</si>
  <si>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</si>
  <si>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</si>
  <si>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</si>
  <si>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</si>
  <si>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</si>
  <si>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</si>
  <si>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</si>
  <si>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</si>
  <si>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</si>
  <si>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</si>
  <si>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</si>
  <si>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</si>
  <si>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</si>
  <si>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</si>
  <si>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</si>
  <si>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</si>
  <si>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</si>
  <si>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</si>
  <si>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</si>
  <si>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</si>
  <si>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</si>
  <si>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</si>
  <si>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</si>
  <si>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</si>
  <si>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</si>
  <si>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</si>
  <si>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</si>
  <si>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</si>
  <si>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</si>
  <si>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</si>
  <si>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</si>
  <si>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</si>
  <si>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</si>
  <si>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</si>
  <si>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</si>
  <si>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</si>
  <si>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</si>
  <si>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</si>
  <si>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</si>
  <si>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</si>
  <si>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</si>
  <si>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</si>
  <si>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Fiscal</t>
  </si>
  <si>
    <t>Sobre bien público</t>
  </si>
  <si>
    <t>Sobre recursos públicos</t>
  </si>
  <si>
    <t>Sobre ingteréses patrimoniales de naturaleza pública</t>
  </si>
  <si>
    <t>Fiscales</t>
  </si>
  <si>
    <t>CONTRATACIÓN ADMINISTRATIVA</t>
  </si>
  <si>
    <t xml:space="preserve">Contratación de bienes y servicios no relacionados con las funciones de la Entidad y que no generan utilidad </t>
  </si>
  <si>
    <t>debilidades en la definición de las necesidades por parte de las áreas</t>
  </si>
  <si>
    <t>Revisones etapa precontractual y contractual sobre toda la documentación en donde se sustenta la necesidad precontractual</t>
  </si>
  <si>
    <t>Validación y aprobación por parte del comité de contratación sobre la pertinencia de las necesidades de contratación para contratos con valores superiorores a 100 SMLV</t>
  </si>
  <si>
    <t>Establecimiento de polizas de cumplimiento en la etapa precontractual</t>
  </si>
  <si>
    <t>Ejecución de la supervisión contractual para revisar que se esté dando cumplimiento all objeto y las obligaciones contractuales</t>
  </si>
  <si>
    <t>Iniciar proceso sancionatorio para los contratos con alto riesgo de incumplimiento</t>
  </si>
  <si>
    <t>Sobrecostos en precios contractuales</t>
  </si>
  <si>
    <t>debilidades en los estudios de mercado</t>
  </si>
  <si>
    <t>Revisones etapa precontractual y contractual sobre toda la documentación en donde se sustenta la necesidad precontractual y los estudios de mercado y del sector</t>
  </si>
  <si>
    <t>Ejecución de la supervisión contractual para revisar que no se están presentando sobrecostos en la ejecución</t>
  </si>
  <si>
    <t>GESTIÓN FINANCIERA Y PRESUPUESTAL</t>
  </si>
  <si>
    <t>Pago de multas, cláusulas penales o cualquier tipo de sanción</t>
  </si>
  <si>
    <t>pago inoportuno de impuestos o reporte de información exogena</t>
  </si>
  <si>
    <t>Verificación frente a fecha de calendario tributario para realizar pagos antes de vencimiento a través de la matriz de seguimiento fechas devencimiento y calendario outllook</t>
  </si>
  <si>
    <t>Inadecuada deducción de impuestos al contratista</t>
  </si>
  <si>
    <t>errores en la causación de la obligación presupuestal</t>
  </si>
  <si>
    <t>Seguimiento a través de la matriz de retenciones</t>
  </si>
  <si>
    <t>ALMACEN E INVENTARIOS</t>
  </si>
  <si>
    <t xml:space="preserve"> Pérdida, extravío, hurto, robo o declaratoria de bienes faltantes pertenecientes a la Entidad</t>
  </si>
  <si>
    <t xml:space="preserve">debilidades en los controles de ingreso y salida de bienes </t>
  </si>
  <si>
    <t>Controles de seguridad física</t>
  </si>
  <si>
    <t>Control de inventarios</t>
  </si>
  <si>
    <t>Afectación de poliza de cumplimiento</t>
  </si>
  <si>
    <t>Daño en bienes muebles de propiedad de la entidad</t>
  </si>
  <si>
    <t>No asegurar buenas prácticas de almacenamiento`
Baja cultura de cuidado de los bienes</t>
  </si>
  <si>
    <t>Inspección visual de las condiciones físicas de los espacios de almecenamiento</t>
  </si>
  <si>
    <t>Segmentar las zonas de almacenamiento de acuerdo con el tipo de bien o elemento</t>
  </si>
  <si>
    <t xml:space="preserve">Realiar tips de concientización sobre la responsabilidad  del uso y el cuidado de los bienes </t>
  </si>
  <si>
    <t xml:space="preserve">RECURSOS FÍSICOS </t>
  </si>
  <si>
    <t>Servicios que no brindan utilidad o beneficio</t>
  </si>
  <si>
    <t>debilidades en el ejercicio de supervisión en los contratos del grupo de gestión administrativa</t>
  </si>
  <si>
    <t>Seguimiento al PAA (Plan Anual de Adquisiciones) del Grupo de Gestión Administrativa</t>
  </si>
  <si>
    <t>Seguimiento a la supervisión de los contratos</t>
  </si>
  <si>
    <t xml:space="preserve">Deterioro del bien  </t>
  </si>
  <si>
    <t>ausencia o debilidades en los mantenimientos preventivos</t>
  </si>
  <si>
    <t>Identificar las necesidades de mantenimiento sobre los bienes</t>
  </si>
  <si>
    <t>Seguimiento a la ejecución de los mantenimientos preventivos a los bienes</t>
  </si>
  <si>
    <t>PROCESOS DISCIPLINARIOS</t>
  </si>
  <si>
    <t>Omisión en el desarrollo de la acción disciplinaria que pueda generar una sanción económica a favor de la entidad</t>
  </si>
  <si>
    <t>desconocimiento de la presunta falta disciplinaria</t>
  </si>
  <si>
    <t>Revisión de los expedientes en el desarrollo de los procesos</t>
  </si>
  <si>
    <t>Seguimiento a los terminos de los prccesos</t>
  </si>
  <si>
    <t>TALENTO HUMANO</t>
  </si>
  <si>
    <t>Pago de viáticos, honorarios o gastos de desplazamiento sin justificación o por encima de los valores establecidos normativamente</t>
  </si>
  <si>
    <t>debilidades en la verificación de los soportes para aprobar el pago</t>
  </si>
  <si>
    <t>Verificación de los soportes para aprobar el pago de la comisión</t>
  </si>
  <si>
    <t>Mayor valor pagado por concepto de nomina</t>
  </si>
  <si>
    <t>errores en la nbase de datos utilizada para el pago o errores en la digitación</t>
  </si>
  <si>
    <t>Verificación sobre los valores de la nomina con segregación de funciones</t>
  </si>
  <si>
    <t>Validación de los valores por parte del Jefe de Talento Humano</t>
  </si>
  <si>
    <t>Saldos o recursos a favor no cobrados</t>
  </si>
  <si>
    <t>debilidades en la gestión de cobros ante las  EPS</t>
  </si>
  <si>
    <t>Realizar reconbro ante la entidad</t>
  </si>
  <si>
    <t>Seguimiento a la matrziz de control de recobros</t>
  </si>
  <si>
    <t>realizar conciliación confinanciera</t>
  </si>
  <si>
    <t>MAPA DE RIESGOS FISCALES DE LA SSF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</si>
</sst>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s>
  <fills count="22">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
      <patternFill patternType="solid">
        <fgColor theme="2"/>
        <bgColor theme="0"/>
      </patternFill>
    </fill>
    <fill>
      <patternFill patternType="solid">
        <fgColor theme="2"/>
        <bgColor indexed="64"/>
      </patternFill>
    </fill>
  </fills>
  <borders count="122">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1">
    <xf numFmtId="0" fontId="0" fillId="0" borderId="0"/>
  </cellStyleXfs>
  <cellXfs count="302">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14" fontId="6" fillId="0" borderId="59" xfId="0" applyNumberFormat="1" applyFont="1" applyBorder="1" applyAlignment="1">
      <alignment horizontal="center" vertical="top"/>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18" fillId="2" borderId="1" xfId="0" applyFont="1" applyFill="1" applyBorder="1" applyAlignment="1">
      <alignment vertical="center"/>
    </xf>
    <xf numFmtId="0" fontId="21" fillId="7" borderId="91" xfId="0" applyFont="1" applyFill="1" applyBorder="1" applyAlignment="1">
      <alignment horizontal="center" vertical="center" wrapText="1" readingOrder="1"/>
    </xf>
    <xf numFmtId="0" fontId="21" fillId="7" borderId="92" xfId="0" applyFont="1" applyFill="1" applyBorder="1" applyAlignment="1">
      <alignment horizontal="center" vertical="center" wrapText="1" readingOrder="1"/>
    </xf>
    <xf numFmtId="0" fontId="21" fillId="7" borderId="93" xfId="0" applyFont="1" applyFill="1" applyBorder="1" applyAlignment="1">
      <alignment horizontal="center" vertical="center" wrapText="1" readingOrder="1"/>
    </xf>
    <xf numFmtId="0" fontId="21" fillId="8" borderId="91" xfId="0" applyFont="1" applyFill="1" applyBorder="1" applyAlignment="1">
      <alignment horizontal="center" wrapText="1" readingOrder="1"/>
    </xf>
    <xf numFmtId="0" fontId="21" fillId="8" borderId="92" xfId="0" applyFont="1" applyFill="1" applyBorder="1" applyAlignment="1">
      <alignment horizontal="center" wrapText="1" readingOrder="1"/>
    </xf>
    <xf numFmtId="0" fontId="21" fillId="8" borderId="93" xfId="0" applyFont="1" applyFill="1" applyBorder="1" applyAlignment="1">
      <alignment horizontal="center" wrapText="1" readingOrder="1"/>
    </xf>
    <xf numFmtId="0" fontId="21" fillId="7" borderId="19"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1" fillId="7" borderId="20" xfId="0" applyFont="1" applyFill="1" applyBorder="1" applyAlignment="1">
      <alignment horizontal="center" vertical="center" wrapText="1" readingOrder="1"/>
    </xf>
    <xf numFmtId="0" fontId="21" fillId="8" borderId="19" xfId="0" applyFont="1" applyFill="1" applyBorder="1" applyAlignment="1">
      <alignment horizontal="center" wrapText="1" readingOrder="1"/>
    </xf>
    <xf numFmtId="0" fontId="21" fillId="8" borderId="1" xfId="0" applyFont="1" applyFill="1" applyBorder="1" applyAlignment="1">
      <alignment horizontal="center" wrapText="1" readingOrder="1"/>
    </xf>
    <xf numFmtId="0" fontId="21" fillId="8" borderId="20" xfId="0" applyFont="1" applyFill="1" applyBorder="1" applyAlignment="1">
      <alignment horizontal="center" wrapText="1" readingOrder="1"/>
    </xf>
    <xf numFmtId="0" fontId="21" fillId="7" borderId="40" xfId="0" applyFont="1" applyFill="1" applyBorder="1" applyAlignment="1">
      <alignment horizontal="center" vertical="center" wrapText="1" readingOrder="1"/>
    </xf>
    <xf numFmtId="0" fontId="21" fillId="7" borderId="41" xfId="0" applyFont="1" applyFill="1" applyBorder="1" applyAlignment="1">
      <alignment horizontal="center" vertical="center" wrapText="1" readingOrder="1"/>
    </xf>
    <xf numFmtId="0" fontId="21" fillId="7" borderId="42" xfId="0" applyFont="1" applyFill="1" applyBorder="1" applyAlignment="1">
      <alignment horizontal="center" vertical="center" wrapText="1" readingOrder="1"/>
    </xf>
    <xf numFmtId="0" fontId="21" fillId="8" borderId="40" xfId="0" applyFont="1" applyFill="1" applyBorder="1" applyAlignment="1">
      <alignment horizontal="center" wrapText="1" readingOrder="1"/>
    </xf>
    <xf numFmtId="0" fontId="21" fillId="8" borderId="41" xfId="0" applyFont="1" applyFill="1" applyBorder="1" applyAlignment="1">
      <alignment horizontal="center" wrapText="1" readingOrder="1"/>
    </xf>
    <xf numFmtId="0" fontId="21" fillId="8" borderId="42" xfId="0" applyFont="1" applyFill="1" applyBorder="1" applyAlignment="1">
      <alignment horizontal="center" wrapText="1" readingOrder="1"/>
    </xf>
    <xf numFmtId="0" fontId="21" fillId="9" borderId="91" xfId="0" applyFont="1" applyFill="1" applyBorder="1" applyAlignment="1">
      <alignment horizontal="center" wrapText="1" readingOrder="1"/>
    </xf>
    <xf numFmtId="0" fontId="21" fillId="9" borderId="92" xfId="0" applyFont="1" applyFill="1" applyBorder="1" applyAlignment="1">
      <alignment horizontal="center" wrapText="1" readingOrder="1"/>
    </xf>
    <xf numFmtId="0" fontId="21" fillId="9" borderId="93" xfId="0" applyFont="1" applyFill="1" applyBorder="1" applyAlignment="1">
      <alignment horizontal="center" wrapText="1" readingOrder="1"/>
    </xf>
    <xf numFmtId="0" fontId="21" fillId="9" borderId="19" xfId="0" applyFont="1" applyFill="1" applyBorder="1" applyAlignment="1">
      <alignment horizontal="center" wrapText="1" readingOrder="1"/>
    </xf>
    <xf numFmtId="0" fontId="21" fillId="9" borderId="1" xfId="0" applyFont="1" applyFill="1" applyBorder="1" applyAlignment="1">
      <alignment horizontal="center" wrapText="1" readingOrder="1"/>
    </xf>
    <xf numFmtId="0" fontId="21" fillId="9" borderId="20" xfId="0" applyFont="1" applyFill="1" applyBorder="1" applyAlignment="1">
      <alignment horizontal="center" wrapText="1" readingOrder="1"/>
    </xf>
    <xf numFmtId="0" fontId="21" fillId="9" borderId="40" xfId="0" applyFont="1" applyFill="1" applyBorder="1" applyAlignment="1">
      <alignment horizontal="center" wrapText="1" readingOrder="1"/>
    </xf>
    <xf numFmtId="0" fontId="21" fillId="9" borderId="41" xfId="0" applyFont="1" applyFill="1" applyBorder="1" applyAlignment="1">
      <alignment horizontal="center" wrapText="1" readingOrder="1"/>
    </xf>
    <xf numFmtId="0" fontId="21" fillId="9" borderId="42" xfId="0" applyFont="1" applyFill="1" applyBorder="1" applyAlignment="1">
      <alignment horizontal="center" wrapText="1" readingOrder="1"/>
    </xf>
    <xf numFmtId="0" fontId="21" fillId="10" borderId="91" xfId="0" applyFont="1" applyFill="1" applyBorder="1" applyAlignment="1">
      <alignment horizontal="center" wrapText="1" readingOrder="1"/>
    </xf>
    <xf numFmtId="0" fontId="21" fillId="10" borderId="92" xfId="0" applyFont="1" applyFill="1" applyBorder="1" applyAlignment="1">
      <alignment horizontal="center" wrapText="1" readingOrder="1"/>
    </xf>
    <xf numFmtId="0" fontId="21" fillId="10" borderId="93" xfId="0" applyFont="1" applyFill="1" applyBorder="1" applyAlignment="1">
      <alignment horizontal="center" wrapText="1" readingOrder="1"/>
    </xf>
    <xf numFmtId="0" fontId="21" fillId="10" borderId="19" xfId="0" applyFont="1" applyFill="1" applyBorder="1" applyAlignment="1">
      <alignment horizontal="center" wrapText="1" readingOrder="1"/>
    </xf>
    <xf numFmtId="0" fontId="21" fillId="10" borderId="1" xfId="0" applyFont="1" applyFill="1" applyBorder="1" applyAlignment="1">
      <alignment horizontal="center" wrapText="1" readingOrder="1"/>
    </xf>
    <xf numFmtId="0" fontId="21" fillId="10" borderId="20" xfId="0" applyFont="1" applyFill="1" applyBorder="1" applyAlignment="1">
      <alignment horizontal="center" wrapText="1" readingOrder="1"/>
    </xf>
    <xf numFmtId="0" fontId="21" fillId="10" borderId="40" xfId="0" applyFont="1" applyFill="1" applyBorder="1" applyAlignment="1">
      <alignment horizontal="center" wrapText="1" readingOrder="1"/>
    </xf>
    <xf numFmtId="0" fontId="21" fillId="10" borderId="41" xfId="0" applyFont="1" applyFill="1" applyBorder="1" applyAlignment="1">
      <alignment horizontal="center" wrapText="1" readingOrder="1"/>
    </xf>
    <xf numFmtId="0" fontId="21" fillId="10" borderId="42" xfId="0" applyFont="1" applyFill="1" applyBorder="1" applyAlignment="1">
      <alignment horizontal="center" wrapText="1" readingOrder="1"/>
    </xf>
    <xf numFmtId="0" fontId="23" fillId="9" borderId="92" xfId="0" applyFont="1" applyFill="1" applyBorder="1" applyAlignment="1">
      <alignment horizontal="center" wrapText="1" readingOrder="1"/>
    </xf>
    <xf numFmtId="0" fontId="24" fillId="0" borderId="0" xfId="0" applyFont="1" applyAlignment="1">
      <alignment horizontal="center" vertical="center" wrapText="1"/>
    </xf>
    <xf numFmtId="0" fontId="25" fillId="11" borderId="1" xfId="0" applyFont="1" applyFill="1" applyBorder="1" applyAlignment="1">
      <alignment horizontal="center" vertical="center" wrapText="1" readingOrder="1"/>
    </xf>
    <xf numFmtId="0" fontId="26" fillId="10" borderId="94" xfId="0" applyFont="1" applyFill="1" applyBorder="1" applyAlignment="1">
      <alignment horizontal="center" vertical="center" wrapText="1" readingOrder="1"/>
    </xf>
    <xf numFmtId="0" fontId="26" fillId="0" borderId="95" xfId="0" applyFont="1" applyBorder="1" applyAlignment="1">
      <alignment horizontal="left" vertical="center" wrapText="1" readingOrder="1"/>
    </xf>
    <xf numFmtId="9" fontId="26" fillId="0" borderId="95" xfId="0" applyNumberFormat="1" applyFont="1" applyBorder="1" applyAlignment="1">
      <alignment horizontal="center" vertical="center" wrapText="1" readingOrder="1"/>
    </xf>
    <xf numFmtId="0" fontId="26" fillId="12" borderId="96" xfId="0" applyFont="1" applyFill="1" applyBorder="1" applyAlignment="1">
      <alignment horizontal="center" vertical="center" wrapText="1" readingOrder="1"/>
    </xf>
    <xf numFmtId="0" fontId="26" fillId="0" borderId="96" xfId="0" applyFont="1" applyBorder="1" applyAlignment="1">
      <alignment horizontal="left" vertical="center" wrapText="1" readingOrder="1"/>
    </xf>
    <xf numFmtId="9" fontId="26" fillId="0" borderId="96" xfId="0" applyNumberFormat="1" applyFont="1" applyBorder="1" applyAlignment="1">
      <alignment horizontal="center" vertical="center" wrapText="1" readingOrder="1"/>
    </xf>
    <xf numFmtId="0" fontId="26" fillId="13" borderId="96" xfId="0" applyFont="1" applyFill="1" applyBorder="1" applyAlignment="1">
      <alignment horizontal="center" vertical="center" wrapText="1" readingOrder="1"/>
    </xf>
    <xf numFmtId="0" fontId="26" fillId="14" borderId="96" xfId="0" applyFont="1" applyFill="1" applyBorder="1" applyAlignment="1">
      <alignment horizontal="center" vertical="center" wrapText="1" readingOrder="1"/>
    </xf>
    <xf numFmtId="0" fontId="27" fillId="5"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30" fillId="11" borderId="1" xfId="0" applyFont="1" applyFill="1" applyBorder="1" applyAlignment="1">
      <alignment horizontal="center" vertical="center" wrapText="1" readingOrder="1"/>
    </xf>
    <xf numFmtId="0" fontId="31" fillId="2" borderId="1" xfId="0" applyFont="1" applyFill="1" applyBorder="1"/>
    <xf numFmtId="0" fontId="32" fillId="10" borderId="94" xfId="0" applyFont="1" applyFill="1" applyBorder="1" applyAlignment="1">
      <alignment horizontal="center" vertical="center" wrapText="1" readingOrder="1"/>
    </xf>
    <xf numFmtId="0" fontId="32" fillId="0" borderId="95" xfId="0" applyFont="1" applyBorder="1" applyAlignment="1">
      <alignment horizontal="center" vertical="center" wrapText="1" readingOrder="1"/>
    </xf>
    <xf numFmtId="0" fontId="32" fillId="0" borderId="95" xfId="0" applyFont="1" applyBorder="1" applyAlignment="1">
      <alignment horizontal="left" vertical="center" wrapText="1" readingOrder="1"/>
    </xf>
    <xf numFmtId="0" fontId="32" fillId="12" borderId="96" xfId="0" applyFont="1" applyFill="1" applyBorder="1" applyAlignment="1">
      <alignment horizontal="center" vertical="center" wrapText="1" readingOrder="1"/>
    </xf>
    <xf numFmtId="0" fontId="32" fillId="0" borderId="96" xfId="0" applyFont="1" applyBorder="1" applyAlignment="1">
      <alignment horizontal="center" vertical="center" wrapText="1" readingOrder="1"/>
    </xf>
    <xf numFmtId="0" fontId="32" fillId="0" borderId="96" xfId="0" applyFont="1" applyBorder="1" applyAlignment="1">
      <alignment horizontal="left" vertical="center" wrapText="1" readingOrder="1"/>
    </xf>
    <xf numFmtId="0" fontId="32" fillId="13" borderId="96" xfId="0" applyFont="1" applyFill="1" applyBorder="1" applyAlignment="1">
      <alignment horizontal="center" vertical="center" wrapText="1" readingOrder="1"/>
    </xf>
    <xf numFmtId="0" fontId="32" fillId="14" borderId="96" xfId="0" applyFont="1" applyFill="1" applyBorder="1" applyAlignment="1">
      <alignment horizontal="center" vertical="center" wrapText="1" readingOrder="1"/>
    </xf>
    <xf numFmtId="0" fontId="33" fillId="5" borderId="96" xfId="0" applyFont="1" applyFill="1" applyBorder="1" applyAlignment="1">
      <alignment horizontal="center" vertical="center" wrapText="1" readingOrder="1"/>
    </xf>
    <xf numFmtId="0" fontId="3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1" fillId="0" borderId="0" xfId="0" applyFont="1"/>
    <xf numFmtId="0" fontId="34" fillId="0" borderId="0" xfId="0" applyFont="1" applyAlignment="1">
      <alignment horizontal="left" vertical="center" wrapText="1" readingOrder="1"/>
    </xf>
    <xf numFmtId="0" fontId="35" fillId="0" borderId="0" xfId="0" applyFont="1" applyAlignment="1">
      <alignment vertical="center"/>
    </xf>
    <xf numFmtId="0" fontId="1"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2" borderId="1" xfId="0" applyFont="1" applyFill="1" applyBorder="1"/>
    <xf numFmtId="0" fontId="42" fillId="2" borderId="1" xfId="0" applyFont="1" applyFill="1" applyBorder="1"/>
    <xf numFmtId="0" fontId="43" fillId="15" borderId="101" xfId="0" applyFont="1" applyFill="1" applyBorder="1" applyAlignment="1">
      <alignment horizontal="center" vertical="center" wrapText="1" readingOrder="1"/>
    </xf>
    <xf numFmtId="0" fontId="43" fillId="15" borderId="102" xfId="0" applyFont="1" applyFill="1" applyBorder="1" applyAlignment="1">
      <alignment horizontal="center" vertical="center" wrapText="1" readingOrder="1"/>
    </xf>
    <xf numFmtId="0" fontId="43" fillId="2" borderId="105" xfId="0" applyFont="1" applyFill="1" applyBorder="1" applyAlignment="1">
      <alignment horizontal="center" vertical="center" wrapText="1" readingOrder="1"/>
    </xf>
    <xf numFmtId="0" fontId="44" fillId="2" borderId="105" xfId="0" applyFont="1" applyFill="1" applyBorder="1" applyAlignment="1">
      <alignment horizontal="left" vertical="center" wrapText="1" readingOrder="1"/>
    </xf>
    <xf numFmtId="9" fontId="43" fillId="2" borderId="106" xfId="0" applyNumberFormat="1" applyFont="1" applyFill="1" applyBorder="1" applyAlignment="1">
      <alignment horizontal="center" vertical="center" wrapText="1" readingOrder="1"/>
    </xf>
    <xf numFmtId="0" fontId="43" fillId="2" borderId="109" xfId="0" applyFont="1" applyFill="1" applyBorder="1" applyAlignment="1">
      <alignment horizontal="center" vertical="center" wrapText="1" readingOrder="1"/>
    </xf>
    <xf numFmtId="0" fontId="44" fillId="2" borderId="109" xfId="0" applyFont="1" applyFill="1" applyBorder="1" applyAlignment="1">
      <alignment horizontal="left" vertical="center" wrapText="1" readingOrder="1"/>
    </xf>
    <xf numFmtId="9" fontId="43" fillId="2" borderId="110" xfId="0" applyNumberFormat="1" applyFont="1" applyFill="1" applyBorder="1" applyAlignment="1">
      <alignment horizontal="center" vertical="center" wrapText="1" readingOrder="1"/>
    </xf>
    <xf numFmtId="0" fontId="44" fillId="2" borderId="110" xfId="0" applyFont="1" applyFill="1" applyBorder="1" applyAlignment="1">
      <alignment horizontal="center" vertical="center" wrapText="1" readingOrder="1"/>
    </xf>
    <xf numFmtId="0" fontId="43" fillId="2" borderId="117" xfId="0" applyFont="1" applyFill="1" applyBorder="1" applyAlignment="1">
      <alignment horizontal="center" vertical="center" wrapText="1" readingOrder="1"/>
    </xf>
    <xf numFmtId="0" fontId="44" fillId="2" borderId="117" xfId="0" applyFont="1" applyFill="1" applyBorder="1" applyAlignment="1">
      <alignment horizontal="left" vertical="center" wrapText="1" readingOrder="1"/>
    </xf>
    <xf numFmtId="0" fontId="44" fillId="2" borderId="118"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6" fillId="0" borderId="96" xfId="0" applyFont="1" applyBorder="1" applyAlignment="1">
      <alignment horizontal="left" vertical="center" wrapText="1" readingOrder="1"/>
    </xf>
    <xf numFmtId="9" fontId="6" fillId="0" borderId="54" xfId="0" applyNumberFormat="1" applyFont="1" applyBorder="1" applyAlignment="1">
      <alignment horizontal="center" vertical="top" wrapText="1"/>
    </xf>
    <xf numFmtId="0" fontId="6" fillId="2" borderId="68" xfId="0" applyFont="1" applyFill="1" applyBorder="1"/>
    <xf numFmtId="0" fontId="51" fillId="0" borderId="0" xfId="0" applyFont="1"/>
    <xf numFmtId="9" fontId="54" fillId="0" borderId="54" xfId="0" applyNumberFormat="1" applyFont="1" applyBorder="1" applyAlignment="1">
      <alignment horizontal="center" vertical="top" wrapText="1"/>
    </xf>
    <xf numFmtId="0" fontId="55" fillId="17" borderId="58" xfId="0" applyFont="1" applyFill="1" applyBorder="1" applyAlignment="1">
      <alignment wrapText="1"/>
    </xf>
    <xf numFmtId="0" fontId="4" fillId="0" borderId="121" xfId="0" applyFont="1" applyBorder="1" applyAlignment="1" applyProtection="1">
      <alignment horizontal="justify" vertical="top" wrapText="1"/>
      <protection locked="0"/>
    </xf>
    <xf numFmtId="0" fontId="8" fillId="18" borderId="59" xfId="0" applyFont="1" applyFill="1" applyBorder="1" applyAlignment="1">
      <alignment horizontal="center" vertical="center" wrapText="1"/>
    </xf>
    <xf numFmtId="0" fontId="53" fillId="18" borderId="59" xfId="0" applyFont="1" applyFill="1" applyBorder="1" applyAlignment="1">
      <alignment horizontal="center" vertical="center" wrapText="1"/>
    </xf>
    <xf numFmtId="0" fontId="6" fillId="2" borderId="68" xfId="0" applyFont="1" applyFill="1" applyBorder="1" applyAlignment="1">
      <alignment horizontal="center" vertical="center"/>
    </xf>
    <xf numFmtId="0" fontId="40" fillId="0" borderId="0" xfId="0" applyFont="1" applyAlignment="1">
      <alignment wrapText="1"/>
    </xf>
    <xf numFmtId="0" fontId="6" fillId="0" borderId="49" xfId="0" applyFont="1" applyBorder="1" applyAlignment="1">
      <alignment horizontal="center" vertical="top"/>
    </xf>
    <xf numFmtId="0" fontId="6" fillId="0" borderId="68" xfId="0" applyFont="1" applyBorder="1"/>
    <xf numFmtId="0" fontId="0" fillId="0" borderId="68" xfId="0" applyBorder="1"/>
    <xf numFmtId="0" fontId="6" fillId="20" borderId="68" xfId="0" applyFont="1" applyFill="1" applyBorder="1"/>
    <xf numFmtId="0" fontId="0" fillId="21" borderId="68" xfId="0" applyFill="1" applyBorder="1"/>
    <xf numFmtId="0" fontId="8" fillId="20" borderId="68" xfId="0" applyFont="1" applyFill="1" applyBorder="1" applyAlignment="1">
      <alignment horizontal="center" vertical="center"/>
    </xf>
    <xf numFmtId="0" fontId="6" fillId="20" borderId="68" xfId="0" applyFont="1" applyFill="1" applyBorder="1" applyAlignment="1">
      <alignment vertical="center"/>
    </xf>
    <xf numFmtId="0" fontId="6" fillId="21" borderId="68" xfId="0" applyFont="1" applyFill="1" applyBorder="1"/>
    <xf numFmtId="0" fontId="8" fillId="0" borderId="54" xfId="0" applyFont="1" applyBorder="1" applyAlignment="1">
      <alignment horizontal="center" vertical="top" wrapText="1"/>
    </xf>
    <xf numFmtId="0" fontId="8" fillId="0" borderId="54" xfId="0" applyFont="1" applyBorder="1" applyAlignment="1">
      <alignment horizontal="center" vertical="top"/>
    </xf>
    <xf numFmtId="0" fontId="6" fillId="0" borderId="54" xfId="0" applyFont="1" applyBorder="1" applyAlignment="1">
      <alignment horizontal="center" vertical="top"/>
    </xf>
    <xf numFmtId="0" fontId="6" fillId="0" borderId="119" xfId="0" applyFont="1" applyBorder="1" applyAlignment="1" applyProtection="1">
      <alignment horizontal="center" vertical="top" wrapText="1"/>
      <protection locked="0"/>
    </xf>
    <xf numFmtId="0" fontId="6" fillId="0" borderId="54" xfId="0" applyFont="1" applyBorder="1" applyAlignment="1">
      <alignment horizontal="center" vertical="top"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6" fillId="0" borderId="54" xfId="0" applyFont="1" applyBorder="1" applyAlignment="1">
      <alignment horizontal="center" vertical="top"/>
    </xf>
    <xf numFmtId="0" fontId="3" fillId="0" borderId="60" xfId="0" applyFont="1" applyBorder="1"/>
    <xf numFmtId="0" fontId="8" fillId="0" borderId="54" xfId="0" applyFont="1" applyBorder="1" applyAlignment="1">
      <alignment horizontal="center" vertical="top" wrapText="1"/>
    </xf>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119" xfId="0" applyFont="1" applyBorder="1" applyAlignment="1" applyProtection="1">
      <alignment horizontal="center" vertical="top" wrapText="1"/>
      <protection locked="0"/>
    </xf>
    <xf numFmtId="0" fontId="6" fillId="0" borderId="120" xfId="0" applyFont="1" applyBorder="1" applyAlignment="1" applyProtection="1">
      <alignment horizontal="center" vertical="top" wrapText="1"/>
      <protection locked="0"/>
    </xf>
    <xf numFmtId="0" fontId="6" fillId="0" borderId="54" xfId="0" applyFont="1" applyBorder="1" applyAlignment="1">
      <alignment horizontal="center" vertical="top" wrapText="1"/>
    </xf>
    <xf numFmtId="0" fontId="8" fillId="4" borderId="54" xfId="0" applyFont="1" applyFill="1" applyBorder="1" applyAlignment="1">
      <alignment horizontal="center" vertical="center"/>
    </xf>
    <xf numFmtId="0" fontId="3" fillId="0" borderId="57" xfId="0" applyFont="1" applyBorder="1"/>
    <xf numFmtId="0" fontId="8" fillId="4" borderId="55" xfId="0" applyFont="1" applyFill="1" applyBorder="1" applyAlignment="1">
      <alignment horizontal="center" vertical="center" wrapText="1"/>
    </xf>
    <xf numFmtId="0" fontId="3" fillId="0" borderId="57" xfId="0" applyFont="1" applyBorder="1" applyAlignment="1">
      <alignment wrapText="1"/>
    </xf>
    <xf numFmtId="0" fontId="8" fillId="4" borderId="55" xfId="0" applyFont="1" applyFill="1" applyBorder="1" applyAlignment="1">
      <alignment horizontal="center" vertical="center"/>
    </xf>
    <xf numFmtId="0" fontId="8" fillId="4" borderId="54" xfId="0" applyFont="1" applyFill="1" applyBorder="1" applyAlignment="1">
      <alignment horizontal="center" vertical="center" wrapText="1"/>
    </xf>
    <xf numFmtId="0" fontId="8" fillId="18" borderId="55" xfId="0" applyFont="1" applyFill="1" applyBorder="1" applyAlignment="1">
      <alignment horizontal="center" vertical="center" wrapText="1"/>
    </xf>
    <xf numFmtId="0" fontId="3" fillId="19" borderId="57" xfId="0" applyFont="1" applyFill="1" applyBorder="1"/>
    <xf numFmtId="0" fontId="12" fillId="4" borderId="43" xfId="0" applyFont="1" applyFill="1" applyBorder="1" applyAlignment="1">
      <alignment horizontal="left" vertical="center"/>
    </xf>
    <xf numFmtId="0" fontId="12" fillId="4" borderId="44" xfId="0" applyFont="1" applyFill="1" applyBorder="1" applyAlignment="1">
      <alignment horizontal="left" vertical="center"/>
    </xf>
    <xf numFmtId="0" fontId="3" fillId="0" borderId="44" xfId="0" applyFont="1" applyBorder="1" applyAlignment="1">
      <alignment horizontal="left"/>
    </xf>
    <xf numFmtId="0" fontId="3" fillId="0" borderId="45" xfId="0" applyFont="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3" fillId="0" borderId="48" xfId="0" applyFont="1" applyBorder="1" applyAlignment="1">
      <alignment horizontal="left"/>
    </xf>
    <xf numFmtId="0" fontId="8" fillId="4" borderId="43" xfId="0" applyFont="1" applyFill="1" applyBorder="1" applyAlignment="1">
      <alignment horizontal="center" vertical="center" wrapText="1"/>
    </xf>
    <xf numFmtId="0" fontId="3" fillId="0" borderId="58" xfId="0" applyFont="1" applyBorder="1"/>
    <xf numFmtId="0" fontId="8" fillId="4" borderId="49" xfId="0" applyFont="1" applyFill="1" applyBorder="1" applyAlignment="1">
      <alignment horizontal="center" vertical="center"/>
    </xf>
    <xf numFmtId="0" fontId="8" fillId="4" borderId="51" xfId="0" applyFont="1" applyFill="1" applyBorder="1" applyAlignment="1">
      <alignment horizontal="center" vertical="center"/>
    </xf>
    <xf numFmtId="0" fontId="3" fillId="0" borderId="51" xfId="0" applyFont="1" applyBorder="1"/>
    <xf numFmtId="0" fontId="3" fillId="0" borderId="50" xfId="0" applyFont="1" applyBorder="1"/>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2" fillId="4" borderId="54" xfId="0" applyFont="1" applyFill="1" applyBorder="1" applyAlignment="1">
      <alignment horizontal="center" vertical="center" textRotation="90"/>
    </xf>
    <xf numFmtId="0" fontId="8" fillId="4" borderId="49" xfId="0" applyFont="1" applyFill="1" applyBorder="1" applyAlignment="1">
      <alignment horizontal="center" vertical="center" wrapText="1"/>
    </xf>
    <xf numFmtId="0" fontId="8" fillId="4" borderId="54" xfId="0" applyFont="1" applyFill="1" applyBorder="1" applyAlignment="1">
      <alignment horizontal="center" vertical="center" textRotation="90" wrapText="1"/>
    </xf>
    <xf numFmtId="0" fontId="8" fillId="4" borderId="56" xfId="0" applyFont="1" applyFill="1" applyBorder="1" applyAlignment="1">
      <alignment horizontal="center" vertical="center"/>
    </xf>
    <xf numFmtId="0" fontId="8" fillId="4" borderId="56" xfId="0" applyFont="1" applyFill="1" applyBorder="1" applyAlignment="1">
      <alignment horizontal="center" vertical="center" wrapText="1"/>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8" fillId="18" borderId="43" xfId="0" applyFont="1" applyFill="1" applyBorder="1" applyAlignment="1">
      <alignment horizontal="center" vertical="center" wrapText="1"/>
    </xf>
    <xf numFmtId="0" fontId="8" fillId="18" borderId="44" xfId="0" applyFont="1" applyFill="1" applyBorder="1" applyAlignment="1">
      <alignment horizontal="center" vertical="center" wrapText="1"/>
    </xf>
    <xf numFmtId="0" fontId="8" fillId="18" borderId="45" xfId="0" applyFont="1" applyFill="1" applyBorder="1" applyAlignment="1">
      <alignment horizontal="center" vertical="center" wrapText="1"/>
    </xf>
    <xf numFmtId="0" fontId="16" fillId="7" borderId="61" xfId="0" applyFont="1" applyFill="1" applyBorder="1" applyAlignment="1">
      <alignment horizontal="center" vertical="center" wrapText="1" readingOrder="1"/>
    </xf>
    <xf numFmtId="0" fontId="3" fillId="0" borderId="69" xfId="0" applyFont="1" applyBorder="1"/>
    <xf numFmtId="0" fontId="3" fillId="0" borderId="66" xfId="0" applyFont="1" applyBorder="1"/>
    <xf numFmtId="0" fontId="3" fillId="0" borderId="79" xfId="0" applyFont="1" applyBorder="1"/>
    <xf numFmtId="0" fontId="16" fillId="8" borderId="82" xfId="0" applyFont="1" applyFill="1" applyBorder="1" applyAlignment="1">
      <alignment horizontal="center" wrapText="1" readingOrder="1"/>
    </xf>
    <xf numFmtId="0" fontId="3" fillId="0" borderId="63" xfId="0" applyFont="1" applyBorder="1"/>
    <xf numFmtId="0" fontId="3" fillId="0" borderId="78" xfId="0" applyFont="1" applyBorder="1"/>
    <xf numFmtId="0" fontId="3" fillId="0" borderId="68" xfId="0" applyFont="1" applyBorder="1"/>
    <xf numFmtId="0" fontId="16" fillId="8" borderId="61" xfId="0" applyFont="1" applyFill="1" applyBorder="1" applyAlignment="1">
      <alignment horizontal="center" wrapText="1" readingOrder="1"/>
    </xf>
    <xf numFmtId="0" fontId="16" fillId="7" borderId="70" xfId="0" applyFont="1" applyFill="1" applyBorder="1" applyAlignment="1">
      <alignment horizontal="center" vertical="center" wrapText="1" readingOrder="1"/>
    </xf>
    <xf numFmtId="0" fontId="3" fillId="0" borderId="73" xfId="0" applyFont="1" applyBorder="1"/>
    <xf numFmtId="0" fontId="16" fillId="7" borderId="74" xfId="0" applyFont="1" applyFill="1" applyBorder="1" applyAlignment="1">
      <alignment horizontal="center" vertical="center" wrapText="1" readingOrder="1"/>
    </xf>
    <xf numFmtId="0" fontId="16" fillId="7" borderId="82" xfId="0" applyFont="1" applyFill="1" applyBorder="1" applyAlignment="1">
      <alignment horizontal="center" vertical="center" wrapText="1" readingOrder="1"/>
    </xf>
    <xf numFmtId="0" fontId="16" fillId="8" borderId="74" xfId="0" applyFont="1" applyFill="1" applyBorder="1" applyAlignment="1">
      <alignment horizontal="center" wrapText="1" readingOrder="1"/>
    </xf>
    <xf numFmtId="0" fontId="3" fillId="0" borderId="83" xfId="0" applyFont="1" applyBorder="1"/>
    <xf numFmtId="0" fontId="3" fillId="0" borderId="86" xfId="0" applyFont="1" applyBorder="1"/>
    <xf numFmtId="0" fontId="3" fillId="0" borderId="87" xfId="0" applyFont="1" applyBorder="1"/>
    <xf numFmtId="0" fontId="3" fillId="0" borderId="85" xfId="0" applyFont="1" applyBorder="1"/>
    <xf numFmtId="0" fontId="16" fillId="9" borderId="74" xfId="0" applyFont="1" applyFill="1" applyBorder="1" applyAlignment="1">
      <alignment horizontal="center" wrapText="1" readingOrder="1"/>
    </xf>
    <xf numFmtId="0" fontId="3" fillId="0" borderId="72" xfId="0" applyFont="1" applyBorder="1"/>
    <xf numFmtId="0" fontId="16" fillId="9" borderId="70" xfId="0" applyFont="1" applyFill="1" applyBorder="1" applyAlignment="1">
      <alignment horizontal="center" wrapText="1" readingOrder="1"/>
    </xf>
    <xf numFmtId="0" fontId="16" fillId="8" borderId="70" xfId="0" applyFont="1" applyFill="1" applyBorder="1" applyAlignment="1">
      <alignment horizontal="center" wrapText="1" readingOrder="1"/>
    </xf>
    <xf numFmtId="0" fontId="16" fillId="10" borderId="61" xfId="0" applyFont="1" applyFill="1" applyBorder="1" applyAlignment="1">
      <alignment horizontal="center" wrapText="1" readingOrder="1"/>
    </xf>
    <xf numFmtId="0" fontId="16" fillId="9" borderId="61" xfId="0" applyFont="1" applyFill="1" applyBorder="1" applyAlignment="1">
      <alignment horizontal="center" wrapText="1" readingOrder="1"/>
    </xf>
    <xf numFmtId="0" fontId="16" fillId="9" borderId="82" xfId="0" applyFont="1" applyFill="1" applyBorder="1" applyAlignment="1">
      <alignment horizontal="center" wrapText="1" readingOrder="1"/>
    </xf>
    <xf numFmtId="0" fontId="17" fillId="10"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7" fillId="7" borderId="75" xfId="0" applyFont="1" applyFill="1" applyBorder="1" applyAlignment="1">
      <alignment horizontal="center" vertical="center" wrapText="1" readingOrder="1"/>
    </xf>
    <xf numFmtId="0" fontId="17" fillId="9" borderId="75" xfId="0" applyFont="1" applyFill="1" applyBorder="1" applyAlignment="1">
      <alignment horizontal="center" vertical="center" wrapText="1" readingOrder="1"/>
    </xf>
    <xf numFmtId="0" fontId="17" fillId="8" borderId="75" xfId="0" applyFont="1" applyFill="1" applyBorder="1" applyAlignment="1">
      <alignment horizontal="center" vertical="center" wrapText="1" readingOrder="1"/>
    </xf>
    <xf numFmtId="0" fontId="15" fillId="0" borderId="70" xfId="0" applyFont="1" applyBorder="1" applyAlignment="1">
      <alignment horizontal="center" vertical="center" wrapText="1"/>
    </xf>
    <xf numFmtId="0" fontId="3" fillId="0" borderId="71" xfId="0" applyFont="1" applyBorder="1"/>
    <xf numFmtId="0" fontId="3" fillId="0" borderId="84" xfId="0" applyFont="1" applyBorder="1"/>
    <xf numFmtId="0" fontId="16" fillId="10" borderId="70" xfId="0" applyFont="1" applyFill="1" applyBorder="1" applyAlignment="1">
      <alignment horizontal="center" wrapText="1" readingOrder="1"/>
    </xf>
    <xf numFmtId="0" fontId="16" fillId="10" borderId="82" xfId="0" applyFont="1" applyFill="1" applyBorder="1" applyAlignment="1">
      <alignment horizontal="center" wrapText="1" readingOrder="1"/>
    </xf>
    <xf numFmtId="0" fontId="16" fillId="10" borderId="74" xfId="0" applyFont="1" applyFill="1" applyBorder="1" applyAlignment="1">
      <alignment horizontal="center" wrapText="1" readingOrder="1"/>
    </xf>
    <xf numFmtId="0" fontId="12" fillId="0" borderId="0" xfId="0" applyFont="1" applyAlignment="1">
      <alignment horizontal="center" vertical="center" wrapText="1"/>
    </xf>
    <xf numFmtId="0" fontId="14" fillId="6"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4" fillId="6" borderId="61" xfId="0" applyFont="1" applyFill="1" applyBorder="1" applyAlignment="1">
      <alignment horizontal="center" vertical="center" textRotation="90" wrapText="1" readingOrder="1"/>
    </xf>
    <xf numFmtId="0" fontId="22" fillId="7" borderId="75" xfId="0" applyFont="1" applyFill="1" applyBorder="1" applyAlignment="1">
      <alignment horizontal="center" vertical="center" wrapText="1" readingOrder="1"/>
    </xf>
    <xf numFmtId="0" fontId="22" fillId="9" borderId="75" xfId="0" applyFont="1" applyFill="1" applyBorder="1" applyAlignment="1">
      <alignment horizontal="center" vertical="center" wrapText="1" readingOrder="1"/>
    </xf>
    <xf numFmtId="0" fontId="22" fillId="8" borderId="75" xfId="0" applyFont="1" applyFill="1" applyBorder="1" applyAlignment="1">
      <alignment horizontal="center" vertical="center" wrapText="1" readingOrder="1"/>
    </xf>
    <xf numFmtId="0" fontId="22" fillId="10" borderId="75" xfId="0" applyFont="1" applyFill="1" applyBorder="1" applyAlignment="1">
      <alignment horizontal="center" vertical="center" wrapText="1" readingOrder="1"/>
    </xf>
    <xf numFmtId="0" fontId="20" fillId="0" borderId="70"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xf>
    <xf numFmtId="0" fontId="28" fillId="0" borderId="0" xfId="0" applyFont="1" applyAlignment="1">
      <alignment horizontal="center" vertical="center"/>
    </xf>
    <xf numFmtId="0" fontId="45" fillId="2" borderId="52" xfId="0" applyFont="1" applyFill="1" applyBorder="1" applyAlignment="1">
      <alignment horizontal="left" vertical="center" wrapText="1"/>
    </xf>
    <xf numFmtId="0" fontId="3" fillId="0" borderId="53" xfId="0" applyFont="1" applyBorder="1"/>
    <xf numFmtId="0" fontId="43"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1"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3" fillId="15" borderId="97" xfId="0" applyFont="1" applyFill="1" applyBorder="1" applyAlignment="1">
      <alignment horizontal="center" vertical="center" wrapText="1" readingOrder="1"/>
    </xf>
    <xf numFmtId="0" fontId="3" fillId="0" borderId="100" xfId="0" applyFont="1" applyBorder="1"/>
    <xf numFmtId="0" fontId="43"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3" fillId="2" borderId="104" xfId="0" applyFont="1" applyFill="1" applyBorder="1" applyAlignment="1">
      <alignment horizontal="center" vertical="center" wrapText="1" readingOrder="1"/>
    </xf>
    <xf numFmtId="0" fontId="3" fillId="0" borderId="108" xfId="0" applyFont="1" applyBorder="1"/>
    <xf numFmtId="0" fontId="43" fillId="2" borderId="114" xfId="0" applyFont="1" applyFill="1" applyBorder="1" applyAlignment="1">
      <alignment horizontal="center" vertical="center" wrapText="1" readingOrder="1"/>
    </xf>
    <xf numFmtId="0" fontId="3" fillId="0" borderId="115" xfId="0" applyFont="1" applyBorder="1"/>
  </cellXfs>
  <cellStyles count="1">
    <cellStyle name="Normal" xfId="0" builtinId="0"/>
  </cellStyles>
  <dxfs count="61">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60"/>
      <tableStyleElement type="firstRowStripe" dxfId="59"/>
      <tableStyleElement type="secondRowStripe"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91f16a127d3eb837/Documents/SSF/CONTRATO%202024/EJECUCIO&#769;N/GESTIO&#769;N%20DEL%20RIESGO%202024/RIESGOS%20FISCALES/MAPA%20RIESGOS%20FISCALES%20GESTIO&#769;N%20RECURSOS%20FIS%20Y%20ALM%20E%20INV%202024%20V2.xlsx" TargetMode="External"/><Relationship Id="rId1" Type="http://schemas.openxmlformats.org/officeDocument/2006/relationships/externalLinkPath" Target="/91f16a127d3eb837/Documents/SSF/CONTRATO%202024/EJECUCIO&#769;N/GESTIO&#769;N%20DEL%20RIESGO%202024/RIESGOS%20FISCALES/MAPA%20RIESGOS%20FISCALES%20GESTIO&#769;N%20RECURSOS%20FIS%20Y%20ALM%20E%20INV%202024%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91f16a127d3eb837/Documents/SSF/CONTRATO%202024/EJECUCIO&#769;N/GESTIO&#769;N%20DEL%20RIESGO%202024/RIESGOS%20FISCALES/MAPA%20RIESGOS%20FISCALES%20PROCESOS%20DISCIPLINARIOS%202024%20V1.xlsx" TargetMode="External"/><Relationship Id="rId1" Type="http://schemas.openxmlformats.org/officeDocument/2006/relationships/externalLinkPath" Target="/91f16a127d3eb837/Documents/SSF/CONTRATO%202024/EJECUCIO&#769;N/GESTIO&#769;N%20DEL%20RIESGO%202024/RIESGOS%20FISCALES/MAPA%20RIESGOS%20FISCALES%20PROCESOS%20DISCIPLINARIOS%202024%20V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91f16a127d3eb837/Documents/SSF/CONTRATO%202024/EJECUCIO&#769;N/GESTIO&#769;N%20DEL%20RIESGO%202024/RIESGOS%20FISCALES/MAPA%20RIESGOS%20FISCALES%20PROCESOS%20TALENTO%20HUMANO%202024%20V1.xlsx" TargetMode="External"/><Relationship Id="rId1" Type="http://schemas.openxmlformats.org/officeDocument/2006/relationships/externalLinkPath" Target="/91f16a127d3eb837/Documents/SSF/CONTRATO%202024/EJECUCIO&#769;N/GESTIO&#769;N%20DEL%20RIESGO%202024/RIESGOS%20FISCALES/MAPA%20RIESGOS%20FISCALES%20PROCESOS%20TALENTO%20HUMANO%202024%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Fiscal</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Fiscal</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Fiscal</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0DDDF-22C1-4DBC-B591-1390380B4D93}" name="Tabla2" displayName="Tabla2" ref="H1:P1048576" totalsRowShown="0">
  <autoFilter ref="H1:P1048576" xr:uid="{7770DDDF-22C1-4DBC-B591-1390380B4D93}"/>
  <tableColumns count="9">
    <tableColumn id="1" xr3:uid="{25684B83-90E5-474F-ADE9-6F4A1ED098FB}" name="Tipo de Riesgo"/>
    <tableColumn id="2" xr3:uid="{2AE64B3D-8D6A-48F8-A1FE-AA2014238D34}" name="Activos de información"/>
    <tableColumn id="3" xr3:uid="{9E9515D4-A2F8-441B-AFBD-A2D2BF784AA1}" name="Interrupción"/>
    <tableColumn id="4" xr3:uid="{EDADA124-3B2B-4F74-A57D-8BFB7B045AE9}" name="Frecuencia de ejecución de la actividad"/>
    <tableColumn id="5" xr3:uid="{4336B0D8-1824-4FCC-8D30-D18F70B8619A}" name="Criterio para probabilidad"/>
    <tableColumn id="6" xr3:uid="{8AB1769A-A6C6-40AF-9917-B3C5D5647775}" name="Nombre "/>
    <tableColumn id="7" xr3:uid="{ACCAFD86-5B8C-4969-92E5-1FD1CFDC8B81}" name="Objetivo de Control ISO 27001"/>
    <tableColumn id="9" xr3:uid="{31B27B52-8973-4213-A3CD-CB2045BBD090}" name="#" dataDxfId="57"/>
    <tableColumn id="8" xr3:uid="{C6E17333-88EA-434D-8F78-5B279BB0D98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5" defaultRowHeight="15" customHeight="1" x14ac:dyDescent="0.15"/>
  <cols>
    <col min="1" max="1" width="2.5" customWidth="1"/>
    <col min="2" max="3" width="21.5" customWidth="1"/>
    <col min="4" max="4" width="18.5" customWidth="1"/>
    <col min="5" max="5" width="21.5" customWidth="1"/>
    <col min="6" max="6" width="24.1640625" customWidth="1"/>
    <col min="7" max="8" width="21.5" customWidth="1"/>
    <col min="9" max="26" width="9.332031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c r="B2" s="149" t="s">
        <v>0</v>
      </c>
      <c r="C2" s="150"/>
      <c r="D2" s="150"/>
      <c r="E2" s="150"/>
      <c r="F2" s="150"/>
      <c r="G2" s="150"/>
      <c r="H2" s="151"/>
      <c r="I2" s="1"/>
      <c r="J2" s="1"/>
      <c r="K2" s="1"/>
      <c r="L2" s="1"/>
      <c r="M2" s="1"/>
      <c r="N2" s="1"/>
      <c r="O2" s="1"/>
      <c r="P2" s="1"/>
      <c r="Q2" s="1"/>
      <c r="R2" s="1"/>
      <c r="S2" s="1"/>
      <c r="T2" s="1"/>
      <c r="U2" s="1"/>
      <c r="V2" s="1"/>
      <c r="W2" s="1"/>
      <c r="X2" s="1"/>
      <c r="Y2" s="1"/>
      <c r="Z2" s="1"/>
    </row>
    <row r="3" spans="1:26" x14ac:dyDescent="0.2">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
      <c r="A4" s="1"/>
      <c r="B4" s="152" t="s">
        <v>1</v>
      </c>
      <c r="C4" s="153"/>
      <c r="D4" s="153"/>
      <c r="E4" s="153"/>
      <c r="F4" s="153"/>
      <c r="G4" s="153"/>
      <c r="H4" s="154"/>
      <c r="I4" s="1"/>
      <c r="J4" s="1"/>
      <c r="K4" s="1"/>
      <c r="L4" s="1"/>
      <c r="M4" s="1"/>
      <c r="N4" s="1"/>
      <c r="O4" s="1"/>
      <c r="P4" s="1"/>
      <c r="Q4" s="1"/>
      <c r="R4" s="1"/>
      <c r="S4" s="1"/>
      <c r="T4" s="1"/>
      <c r="U4" s="1"/>
      <c r="V4" s="1"/>
      <c r="W4" s="1"/>
      <c r="X4" s="1"/>
      <c r="Y4" s="1"/>
      <c r="Z4" s="1"/>
    </row>
    <row r="5" spans="1:26" ht="63" customHeight="1" x14ac:dyDescent="0.2">
      <c r="A5" s="1"/>
      <c r="B5" s="155"/>
      <c r="C5" s="156"/>
      <c r="D5" s="156"/>
      <c r="E5" s="156"/>
      <c r="F5" s="156"/>
      <c r="G5" s="156"/>
      <c r="H5" s="157"/>
      <c r="I5" s="1"/>
      <c r="J5" s="1"/>
      <c r="K5" s="1"/>
      <c r="L5" s="1"/>
      <c r="M5" s="1"/>
      <c r="N5" s="1"/>
      <c r="O5" s="1"/>
      <c r="P5" s="1"/>
      <c r="Q5" s="1"/>
      <c r="R5" s="1"/>
      <c r="S5" s="1"/>
      <c r="T5" s="1"/>
      <c r="U5" s="1"/>
      <c r="V5" s="1"/>
      <c r="W5" s="1"/>
      <c r="X5" s="1"/>
      <c r="Y5" s="1"/>
      <c r="Z5" s="1"/>
    </row>
    <row r="6" spans="1:26" x14ac:dyDescent="0.2">
      <c r="A6" s="1"/>
      <c r="B6" s="158" t="s">
        <v>2</v>
      </c>
      <c r="C6" s="159"/>
      <c r="D6" s="159"/>
      <c r="E6" s="159"/>
      <c r="F6" s="159"/>
      <c r="G6" s="159"/>
      <c r="H6" s="160"/>
      <c r="I6" s="1"/>
      <c r="J6" s="1"/>
      <c r="K6" s="1"/>
      <c r="L6" s="1"/>
      <c r="M6" s="1"/>
      <c r="N6" s="1"/>
      <c r="O6" s="1"/>
      <c r="P6" s="1"/>
      <c r="Q6" s="1"/>
      <c r="R6" s="1"/>
      <c r="S6" s="1"/>
      <c r="T6" s="1"/>
      <c r="U6" s="1"/>
      <c r="V6" s="1"/>
      <c r="W6" s="1"/>
      <c r="X6" s="1"/>
      <c r="Y6" s="1"/>
      <c r="Z6" s="1"/>
    </row>
    <row r="7" spans="1:26" ht="95.25" customHeight="1" x14ac:dyDescent="0.2">
      <c r="A7" s="1"/>
      <c r="B7" s="161" t="s">
        <v>3</v>
      </c>
      <c r="C7" s="162"/>
      <c r="D7" s="162"/>
      <c r="E7" s="162"/>
      <c r="F7" s="162"/>
      <c r="G7" s="162"/>
      <c r="H7" s="163"/>
      <c r="I7" s="1"/>
      <c r="J7" s="1"/>
      <c r="K7" s="1"/>
      <c r="L7" s="1"/>
      <c r="M7" s="1"/>
      <c r="N7" s="1"/>
      <c r="O7" s="1"/>
      <c r="P7" s="1"/>
      <c r="Q7" s="1"/>
      <c r="R7" s="1"/>
      <c r="S7" s="1"/>
      <c r="T7" s="1"/>
      <c r="U7" s="1"/>
      <c r="V7" s="1"/>
      <c r="W7" s="1"/>
      <c r="X7" s="1"/>
      <c r="Y7" s="1"/>
      <c r="Z7" s="1"/>
    </row>
    <row r="8" spans="1:26" x14ac:dyDescent="0.2">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
      <c r="A9" s="1"/>
      <c r="B9" s="164" t="s">
        <v>4</v>
      </c>
      <c r="C9" s="153"/>
      <c r="D9" s="153"/>
      <c r="E9" s="153"/>
      <c r="F9" s="153"/>
      <c r="G9" s="153"/>
      <c r="H9" s="154"/>
      <c r="I9" s="1"/>
      <c r="J9" s="1"/>
      <c r="K9" s="1"/>
      <c r="L9" s="1"/>
      <c r="M9" s="1"/>
      <c r="N9" s="1"/>
      <c r="O9" s="1"/>
      <c r="P9" s="1"/>
      <c r="Q9" s="1"/>
      <c r="R9" s="1"/>
      <c r="S9" s="1"/>
      <c r="T9" s="1"/>
      <c r="U9" s="1"/>
      <c r="V9" s="1"/>
      <c r="W9" s="1"/>
      <c r="X9" s="1"/>
      <c r="Y9" s="1"/>
      <c r="Z9" s="1"/>
    </row>
    <row r="10" spans="1:26" ht="44.25" customHeight="1" x14ac:dyDescent="0.2">
      <c r="A10" s="1"/>
      <c r="B10" s="165"/>
      <c r="C10" s="153"/>
      <c r="D10" s="153"/>
      <c r="E10" s="153"/>
      <c r="F10" s="153"/>
      <c r="G10" s="153"/>
      <c r="H10" s="154"/>
      <c r="I10" s="1"/>
      <c r="J10" s="1"/>
      <c r="K10" s="1"/>
      <c r="L10" s="1"/>
      <c r="M10" s="1"/>
      <c r="N10" s="1"/>
      <c r="O10" s="1"/>
      <c r="P10" s="1"/>
      <c r="Q10" s="1"/>
      <c r="R10" s="1"/>
      <c r="S10" s="1"/>
      <c r="T10" s="1"/>
      <c r="U10" s="1"/>
      <c r="V10" s="1"/>
      <c r="W10" s="1"/>
      <c r="X10" s="1"/>
      <c r="Y10" s="1"/>
      <c r="Z10" s="1"/>
    </row>
    <row r="11" spans="1:26" x14ac:dyDescent="0.2">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
      <c r="A12" s="1"/>
      <c r="B12" s="8"/>
      <c r="C12" s="166" t="s">
        <v>5</v>
      </c>
      <c r="D12" s="167"/>
      <c r="E12" s="168" t="s">
        <v>6</v>
      </c>
      <c r="F12" s="169"/>
      <c r="G12" s="9"/>
      <c r="H12" s="12"/>
      <c r="I12" s="1"/>
      <c r="J12" s="1"/>
      <c r="K12" s="1"/>
      <c r="L12" s="1"/>
      <c r="M12" s="1"/>
      <c r="N12" s="1"/>
      <c r="O12" s="1"/>
      <c r="P12" s="1"/>
      <c r="Q12" s="1"/>
      <c r="R12" s="1"/>
      <c r="S12" s="1"/>
      <c r="T12" s="1"/>
      <c r="U12" s="1"/>
      <c r="V12" s="1"/>
      <c r="W12" s="1"/>
      <c r="X12" s="1"/>
      <c r="Y12" s="1"/>
      <c r="Z12" s="1"/>
    </row>
    <row r="13" spans="1:26" ht="35.25" customHeight="1" x14ac:dyDescent="0.2">
      <c r="A13" s="1"/>
      <c r="B13" s="8"/>
      <c r="C13" s="170" t="s">
        <v>7</v>
      </c>
      <c r="D13" s="171"/>
      <c r="E13" s="172" t="s">
        <v>8</v>
      </c>
      <c r="F13" s="173"/>
      <c r="G13" s="9"/>
      <c r="H13" s="12"/>
      <c r="I13" s="1"/>
      <c r="J13" s="1"/>
      <c r="K13" s="1"/>
      <c r="L13" s="1"/>
      <c r="M13" s="1"/>
      <c r="N13" s="1"/>
      <c r="O13" s="1"/>
      <c r="P13" s="1"/>
      <c r="Q13" s="1"/>
      <c r="R13" s="1"/>
      <c r="S13" s="1"/>
      <c r="T13" s="1"/>
      <c r="U13" s="1"/>
      <c r="V13" s="1"/>
      <c r="W13" s="1"/>
      <c r="X13" s="1"/>
      <c r="Y13" s="1"/>
      <c r="Z13" s="1"/>
    </row>
    <row r="14" spans="1:26" ht="17.25" customHeight="1" x14ac:dyDescent="0.2">
      <c r="A14" s="1"/>
      <c r="B14" s="8"/>
      <c r="C14" s="170" t="s">
        <v>9</v>
      </c>
      <c r="D14" s="171"/>
      <c r="E14" s="172" t="s">
        <v>10</v>
      </c>
      <c r="F14" s="173"/>
      <c r="G14" s="9"/>
      <c r="H14" s="12"/>
      <c r="I14" s="1"/>
      <c r="J14" s="1"/>
      <c r="K14" s="1"/>
      <c r="L14" s="1"/>
      <c r="M14" s="1"/>
      <c r="N14" s="1"/>
      <c r="O14" s="1"/>
      <c r="P14" s="1"/>
      <c r="Q14" s="1"/>
      <c r="R14" s="1"/>
      <c r="S14" s="1"/>
      <c r="T14" s="1"/>
      <c r="U14" s="1"/>
      <c r="V14" s="1"/>
      <c r="W14" s="1"/>
      <c r="X14" s="1"/>
      <c r="Y14" s="1"/>
      <c r="Z14" s="1"/>
    </row>
    <row r="15" spans="1:26" ht="19.5" customHeight="1" x14ac:dyDescent="0.2">
      <c r="A15" s="1"/>
      <c r="B15" s="8"/>
      <c r="C15" s="170" t="s">
        <v>11</v>
      </c>
      <c r="D15" s="171"/>
      <c r="E15" s="172" t="s">
        <v>12</v>
      </c>
      <c r="F15" s="173"/>
      <c r="G15" s="9"/>
      <c r="H15" s="12"/>
      <c r="I15" s="1"/>
      <c r="J15" s="1"/>
      <c r="K15" s="1"/>
      <c r="L15" s="1"/>
      <c r="M15" s="1"/>
      <c r="N15" s="1"/>
      <c r="O15" s="1"/>
      <c r="P15" s="1"/>
      <c r="Q15" s="1"/>
      <c r="R15" s="1"/>
      <c r="S15" s="1"/>
      <c r="T15" s="1"/>
      <c r="U15" s="1"/>
      <c r="V15" s="1"/>
      <c r="W15" s="1"/>
      <c r="X15" s="1"/>
      <c r="Y15" s="1"/>
      <c r="Z15" s="1"/>
    </row>
    <row r="16" spans="1:26" ht="69.75" customHeight="1" x14ac:dyDescent="0.2">
      <c r="A16" s="1"/>
      <c r="B16" s="8"/>
      <c r="C16" s="170" t="s">
        <v>13</v>
      </c>
      <c r="D16" s="171"/>
      <c r="E16" s="172" t="s">
        <v>14</v>
      </c>
      <c r="F16" s="173"/>
      <c r="G16" s="9"/>
      <c r="H16" s="12"/>
      <c r="I16" s="1"/>
      <c r="J16" s="1"/>
      <c r="K16" s="1"/>
      <c r="L16" s="1"/>
      <c r="M16" s="1"/>
      <c r="N16" s="1"/>
      <c r="O16" s="1"/>
      <c r="P16" s="1"/>
      <c r="Q16" s="1"/>
      <c r="R16" s="1"/>
      <c r="S16" s="1"/>
      <c r="T16" s="1"/>
      <c r="U16" s="1"/>
      <c r="V16" s="1"/>
      <c r="W16" s="1"/>
      <c r="X16" s="1"/>
      <c r="Y16" s="1"/>
      <c r="Z16" s="1"/>
    </row>
    <row r="17" spans="1:26" ht="34.5" customHeight="1" x14ac:dyDescent="0.2">
      <c r="A17" s="1"/>
      <c r="B17" s="8"/>
      <c r="C17" s="174" t="s">
        <v>15</v>
      </c>
      <c r="D17" s="175"/>
      <c r="E17" s="176" t="s">
        <v>16</v>
      </c>
      <c r="F17" s="177"/>
      <c r="G17" s="9"/>
      <c r="H17" s="12"/>
      <c r="I17" s="1"/>
      <c r="J17" s="1"/>
      <c r="K17" s="1"/>
      <c r="L17" s="1"/>
      <c r="M17" s="1"/>
      <c r="N17" s="1"/>
      <c r="O17" s="1"/>
      <c r="P17" s="1"/>
      <c r="Q17" s="1"/>
      <c r="R17" s="1"/>
      <c r="S17" s="1"/>
      <c r="T17" s="1"/>
      <c r="U17" s="1"/>
      <c r="V17" s="1"/>
      <c r="W17" s="1"/>
      <c r="X17" s="1"/>
      <c r="Y17" s="1"/>
      <c r="Z17" s="1"/>
    </row>
    <row r="18" spans="1:26" ht="27.75" customHeight="1" x14ac:dyDescent="0.2">
      <c r="A18" s="1"/>
      <c r="B18" s="8"/>
      <c r="C18" s="174" t="s">
        <v>17</v>
      </c>
      <c r="D18" s="175"/>
      <c r="E18" s="176" t="s">
        <v>18</v>
      </c>
      <c r="F18" s="177"/>
      <c r="G18" s="9"/>
      <c r="H18" s="12"/>
      <c r="I18" s="1"/>
      <c r="J18" s="1"/>
      <c r="K18" s="1"/>
      <c r="L18" s="1"/>
      <c r="M18" s="1"/>
      <c r="N18" s="1"/>
      <c r="O18" s="1"/>
      <c r="P18" s="1"/>
      <c r="Q18" s="1"/>
      <c r="R18" s="1"/>
      <c r="S18" s="1"/>
      <c r="T18" s="1"/>
      <c r="U18" s="1"/>
      <c r="V18" s="1"/>
      <c r="W18" s="1"/>
      <c r="X18" s="1"/>
      <c r="Y18" s="1"/>
      <c r="Z18" s="1"/>
    </row>
    <row r="19" spans="1:26" ht="28.5" customHeight="1" x14ac:dyDescent="0.2">
      <c r="A19" s="1"/>
      <c r="B19" s="8"/>
      <c r="C19" s="174" t="s">
        <v>19</v>
      </c>
      <c r="D19" s="175"/>
      <c r="E19" s="176" t="s">
        <v>20</v>
      </c>
      <c r="F19" s="177"/>
      <c r="G19" s="9"/>
      <c r="H19" s="12"/>
      <c r="I19" s="1"/>
      <c r="J19" s="1"/>
      <c r="K19" s="1"/>
      <c r="L19" s="1"/>
      <c r="M19" s="1"/>
      <c r="N19" s="1"/>
      <c r="O19" s="1"/>
      <c r="P19" s="1"/>
      <c r="Q19" s="1"/>
      <c r="R19" s="1"/>
      <c r="S19" s="1"/>
      <c r="T19" s="1"/>
      <c r="U19" s="1"/>
      <c r="V19" s="1"/>
      <c r="W19" s="1"/>
      <c r="X19" s="1"/>
      <c r="Y19" s="1"/>
      <c r="Z19" s="1"/>
    </row>
    <row r="20" spans="1:26" ht="72.75" customHeight="1" x14ac:dyDescent="0.2">
      <c r="A20" s="1"/>
      <c r="B20" s="8"/>
      <c r="C20" s="174" t="s">
        <v>21</v>
      </c>
      <c r="D20" s="175"/>
      <c r="E20" s="176" t="s">
        <v>22</v>
      </c>
      <c r="F20" s="177"/>
      <c r="G20" s="9"/>
      <c r="H20" s="12"/>
      <c r="I20" s="1"/>
      <c r="J20" s="1"/>
      <c r="K20" s="1"/>
      <c r="L20" s="1"/>
      <c r="M20" s="1"/>
      <c r="N20" s="1"/>
      <c r="O20" s="1"/>
      <c r="P20" s="1"/>
      <c r="Q20" s="1"/>
      <c r="R20" s="1"/>
      <c r="S20" s="1"/>
      <c r="T20" s="1"/>
      <c r="U20" s="1"/>
      <c r="V20" s="1"/>
      <c r="W20" s="1"/>
      <c r="X20" s="1"/>
      <c r="Y20" s="1"/>
      <c r="Z20" s="1"/>
    </row>
    <row r="21" spans="1:26" ht="64.5" customHeight="1" x14ac:dyDescent="0.2">
      <c r="A21" s="1"/>
      <c r="B21" s="8"/>
      <c r="C21" s="174" t="s">
        <v>23</v>
      </c>
      <c r="D21" s="175"/>
      <c r="E21" s="176" t="s">
        <v>24</v>
      </c>
      <c r="F21" s="177"/>
      <c r="G21" s="9"/>
      <c r="H21" s="12"/>
      <c r="I21" s="1"/>
      <c r="J21" s="1"/>
      <c r="K21" s="1"/>
      <c r="L21" s="1"/>
      <c r="M21" s="1"/>
      <c r="N21" s="1"/>
      <c r="O21" s="1"/>
      <c r="P21" s="1"/>
      <c r="Q21" s="1"/>
      <c r="R21" s="1"/>
      <c r="S21" s="1"/>
      <c r="T21" s="1"/>
      <c r="U21" s="1"/>
      <c r="V21" s="1"/>
      <c r="W21" s="1"/>
      <c r="X21" s="1"/>
      <c r="Y21" s="1"/>
      <c r="Z21" s="1"/>
    </row>
    <row r="22" spans="1:26" ht="71.25" customHeight="1" x14ac:dyDescent="0.2">
      <c r="A22" s="1"/>
      <c r="B22" s="8"/>
      <c r="C22" s="174" t="s">
        <v>25</v>
      </c>
      <c r="D22" s="175"/>
      <c r="E22" s="176" t="s">
        <v>26</v>
      </c>
      <c r="F22" s="177"/>
      <c r="G22" s="9"/>
      <c r="H22" s="12"/>
      <c r="I22" s="1"/>
      <c r="J22" s="1"/>
      <c r="K22" s="1"/>
      <c r="L22" s="1"/>
      <c r="M22" s="1"/>
      <c r="N22" s="1"/>
      <c r="O22" s="1"/>
      <c r="P22" s="1"/>
      <c r="Q22" s="1"/>
      <c r="R22" s="1"/>
      <c r="S22" s="1"/>
      <c r="T22" s="1"/>
      <c r="U22" s="1"/>
      <c r="V22" s="1"/>
      <c r="W22" s="1"/>
      <c r="X22" s="1"/>
      <c r="Y22" s="1"/>
      <c r="Z22" s="1"/>
    </row>
    <row r="23" spans="1:26" ht="55.5" customHeight="1" x14ac:dyDescent="0.2">
      <c r="A23" s="1"/>
      <c r="B23" s="8"/>
      <c r="C23" s="174" t="s">
        <v>27</v>
      </c>
      <c r="D23" s="175"/>
      <c r="E23" s="176" t="s">
        <v>28</v>
      </c>
      <c r="F23" s="177"/>
      <c r="G23" s="9"/>
      <c r="H23" s="12"/>
      <c r="I23" s="1"/>
      <c r="J23" s="1"/>
      <c r="K23" s="1"/>
      <c r="L23" s="1"/>
      <c r="M23" s="1"/>
      <c r="N23" s="1"/>
      <c r="O23" s="1"/>
      <c r="P23" s="1"/>
      <c r="Q23" s="1"/>
      <c r="R23" s="1"/>
      <c r="S23" s="1"/>
      <c r="T23" s="1"/>
      <c r="U23" s="1"/>
      <c r="V23" s="1"/>
      <c r="W23" s="1"/>
      <c r="X23" s="1"/>
      <c r="Y23" s="1"/>
      <c r="Z23" s="1"/>
    </row>
    <row r="24" spans="1:26" ht="42" customHeight="1" x14ac:dyDescent="0.2">
      <c r="A24" s="1"/>
      <c r="B24" s="8"/>
      <c r="C24" s="174" t="s">
        <v>29</v>
      </c>
      <c r="D24" s="175"/>
      <c r="E24" s="176" t="s">
        <v>30</v>
      </c>
      <c r="F24" s="177"/>
      <c r="G24" s="9"/>
      <c r="H24" s="12"/>
      <c r="I24" s="1"/>
      <c r="J24" s="1"/>
      <c r="K24" s="1"/>
      <c r="L24" s="1"/>
      <c r="M24" s="1"/>
      <c r="N24" s="1"/>
      <c r="O24" s="1"/>
      <c r="P24" s="1"/>
      <c r="Q24" s="1"/>
      <c r="R24" s="1"/>
      <c r="S24" s="1"/>
      <c r="T24" s="1"/>
      <c r="U24" s="1"/>
      <c r="V24" s="1"/>
      <c r="W24" s="1"/>
      <c r="X24" s="1"/>
      <c r="Y24" s="1"/>
      <c r="Z24" s="1"/>
    </row>
    <row r="25" spans="1:26" ht="59.25" customHeight="1" x14ac:dyDescent="0.2">
      <c r="A25" s="1"/>
      <c r="B25" s="8"/>
      <c r="C25" s="174" t="s">
        <v>31</v>
      </c>
      <c r="D25" s="175"/>
      <c r="E25" s="176" t="s">
        <v>32</v>
      </c>
      <c r="F25" s="177"/>
      <c r="G25" s="9"/>
      <c r="H25" s="12"/>
      <c r="I25" s="1"/>
      <c r="J25" s="1"/>
      <c r="K25" s="1"/>
      <c r="L25" s="1"/>
      <c r="M25" s="1"/>
      <c r="N25" s="1"/>
      <c r="O25" s="1"/>
      <c r="P25" s="1"/>
      <c r="Q25" s="1"/>
      <c r="R25" s="1"/>
      <c r="S25" s="1"/>
      <c r="T25" s="1"/>
      <c r="U25" s="1"/>
      <c r="V25" s="1"/>
      <c r="W25" s="1"/>
      <c r="X25" s="1"/>
      <c r="Y25" s="1"/>
      <c r="Z25" s="1"/>
    </row>
    <row r="26" spans="1:26" ht="23.25" customHeight="1" x14ac:dyDescent="0.2">
      <c r="A26" s="1"/>
      <c r="B26" s="8"/>
      <c r="C26" s="174" t="s">
        <v>33</v>
      </c>
      <c r="D26" s="175"/>
      <c r="E26" s="176" t="s">
        <v>34</v>
      </c>
      <c r="F26" s="177"/>
      <c r="G26" s="9"/>
      <c r="H26" s="12"/>
      <c r="I26" s="1"/>
      <c r="J26" s="1"/>
      <c r="K26" s="1"/>
      <c r="L26" s="1"/>
      <c r="M26" s="1"/>
      <c r="N26" s="1"/>
      <c r="O26" s="1"/>
      <c r="P26" s="1"/>
      <c r="Q26" s="1"/>
      <c r="R26" s="1"/>
      <c r="S26" s="1"/>
      <c r="T26" s="1"/>
      <c r="U26" s="1"/>
      <c r="V26" s="1"/>
      <c r="W26" s="1"/>
      <c r="X26" s="1"/>
      <c r="Y26" s="1"/>
      <c r="Z26" s="1"/>
    </row>
    <row r="27" spans="1:26" ht="30.75" customHeight="1" x14ac:dyDescent="0.2">
      <c r="A27" s="1"/>
      <c r="B27" s="8"/>
      <c r="C27" s="174" t="s">
        <v>35</v>
      </c>
      <c r="D27" s="175"/>
      <c r="E27" s="176" t="s">
        <v>36</v>
      </c>
      <c r="F27" s="177"/>
      <c r="G27" s="9"/>
      <c r="H27" s="12"/>
      <c r="I27" s="1"/>
      <c r="J27" s="1"/>
      <c r="K27" s="1"/>
      <c r="L27" s="1"/>
      <c r="M27" s="1"/>
      <c r="N27" s="1"/>
      <c r="O27" s="1"/>
      <c r="P27" s="1"/>
      <c r="Q27" s="1"/>
      <c r="R27" s="1"/>
      <c r="S27" s="1"/>
      <c r="T27" s="1"/>
      <c r="U27" s="1"/>
      <c r="V27" s="1"/>
      <c r="W27" s="1"/>
      <c r="X27" s="1"/>
      <c r="Y27" s="1"/>
      <c r="Z27" s="1"/>
    </row>
    <row r="28" spans="1:26" ht="35.25" customHeight="1" x14ac:dyDescent="0.2">
      <c r="A28" s="1"/>
      <c r="B28" s="8"/>
      <c r="C28" s="174" t="s">
        <v>37</v>
      </c>
      <c r="D28" s="175"/>
      <c r="E28" s="176" t="s">
        <v>38</v>
      </c>
      <c r="F28" s="177"/>
      <c r="G28" s="9"/>
      <c r="H28" s="12"/>
      <c r="I28" s="1"/>
      <c r="J28" s="1"/>
      <c r="K28" s="1"/>
      <c r="L28" s="1"/>
      <c r="M28" s="1"/>
      <c r="N28" s="1"/>
      <c r="O28" s="1"/>
      <c r="P28" s="1"/>
      <c r="Q28" s="1"/>
      <c r="R28" s="1"/>
      <c r="S28" s="1"/>
      <c r="T28" s="1"/>
      <c r="U28" s="1"/>
      <c r="V28" s="1"/>
      <c r="W28" s="1"/>
      <c r="X28" s="1"/>
      <c r="Y28" s="1"/>
      <c r="Z28" s="1"/>
    </row>
    <row r="29" spans="1:26" ht="33" customHeight="1" x14ac:dyDescent="0.2">
      <c r="A29" s="1"/>
      <c r="B29" s="8"/>
      <c r="C29" s="174" t="s">
        <v>39</v>
      </c>
      <c r="D29" s="175"/>
      <c r="E29" s="176" t="s">
        <v>38</v>
      </c>
      <c r="F29" s="177"/>
      <c r="G29" s="9"/>
      <c r="H29" s="12"/>
      <c r="I29" s="1"/>
      <c r="J29" s="1"/>
      <c r="K29" s="1"/>
      <c r="L29" s="1"/>
      <c r="M29" s="1"/>
      <c r="N29" s="1"/>
      <c r="O29" s="1"/>
      <c r="P29" s="1"/>
      <c r="Q29" s="1"/>
      <c r="R29" s="1"/>
      <c r="S29" s="1"/>
      <c r="T29" s="1"/>
      <c r="U29" s="1"/>
      <c r="V29" s="1"/>
      <c r="W29" s="1"/>
      <c r="X29" s="1"/>
      <c r="Y29" s="1"/>
      <c r="Z29" s="1"/>
    </row>
    <row r="30" spans="1:26" ht="30" customHeight="1" x14ac:dyDescent="0.2">
      <c r="A30" s="1"/>
      <c r="B30" s="8"/>
      <c r="C30" s="174" t="s">
        <v>40</v>
      </c>
      <c r="D30" s="175"/>
      <c r="E30" s="176" t="s">
        <v>41</v>
      </c>
      <c r="F30" s="177"/>
      <c r="G30" s="9"/>
      <c r="H30" s="12"/>
      <c r="I30" s="1"/>
      <c r="J30" s="1"/>
      <c r="K30" s="1"/>
      <c r="L30" s="1"/>
      <c r="M30" s="1"/>
      <c r="N30" s="1"/>
      <c r="O30" s="1"/>
      <c r="P30" s="1"/>
      <c r="Q30" s="1"/>
      <c r="R30" s="1"/>
      <c r="S30" s="1"/>
      <c r="T30" s="1"/>
      <c r="U30" s="1"/>
      <c r="V30" s="1"/>
      <c r="W30" s="1"/>
      <c r="X30" s="1"/>
      <c r="Y30" s="1"/>
      <c r="Z30" s="1"/>
    </row>
    <row r="31" spans="1:26" ht="35.25" customHeight="1" x14ac:dyDescent="0.2">
      <c r="A31" s="1"/>
      <c r="B31" s="8"/>
      <c r="C31" s="174" t="s">
        <v>42</v>
      </c>
      <c r="D31" s="175"/>
      <c r="E31" s="176" t="s">
        <v>43</v>
      </c>
      <c r="F31" s="177"/>
      <c r="G31" s="9"/>
      <c r="H31" s="12"/>
      <c r="I31" s="1"/>
      <c r="J31" s="1"/>
      <c r="K31" s="1"/>
      <c r="L31" s="1"/>
      <c r="M31" s="1"/>
      <c r="N31" s="1"/>
      <c r="O31" s="1"/>
      <c r="P31" s="1"/>
      <c r="Q31" s="1"/>
      <c r="R31" s="1"/>
      <c r="S31" s="1"/>
      <c r="T31" s="1"/>
      <c r="U31" s="1"/>
      <c r="V31" s="1"/>
      <c r="W31" s="1"/>
      <c r="X31" s="1"/>
      <c r="Y31" s="1"/>
      <c r="Z31" s="1"/>
    </row>
    <row r="32" spans="1:26" ht="31.5" customHeight="1" x14ac:dyDescent="0.2">
      <c r="A32" s="1"/>
      <c r="B32" s="8"/>
      <c r="C32" s="174" t="s">
        <v>44</v>
      </c>
      <c r="D32" s="175"/>
      <c r="E32" s="176" t="s">
        <v>45</v>
      </c>
      <c r="F32" s="177"/>
      <c r="G32" s="9"/>
      <c r="H32" s="12"/>
      <c r="I32" s="1"/>
      <c r="J32" s="1"/>
      <c r="K32" s="1"/>
      <c r="L32" s="1"/>
      <c r="M32" s="1"/>
      <c r="N32" s="1"/>
      <c r="O32" s="1"/>
      <c r="P32" s="1"/>
      <c r="Q32" s="1"/>
      <c r="R32" s="1"/>
      <c r="S32" s="1"/>
      <c r="T32" s="1"/>
      <c r="U32" s="1"/>
      <c r="V32" s="1"/>
      <c r="W32" s="1"/>
      <c r="X32" s="1"/>
      <c r="Y32" s="1"/>
      <c r="Z32" s="1"/>
    </row>
    <row r="33" spans="1:26" ht="35.25" customHeight="1" x14ac:dyDescent="0.2">
      <c r="A33" s="1"/>
      <c r="B33" s="8"/>
      <c r="C33" s="174" t="s">
        <v>46</v>
      </c>
      <c r="D33" s="175"/>
      <c r="E33" s="176" t="s">
        <v>47</v>
      </c>
      <c r="F33" s="177"/>
      <c r="G33" s="9"/>
      <c r="H33" s="12"/>
      <c r="I33" s="1"/>
      <c r="J33" s="1"/>
      <c r="K33" s="1"/>
      <c r="L33" s="1"/>
      <c r="M33" s="1"/>
      <c r="N33" s="1"/>
      <c r="O33" s="1"/>
      <c r="P33" s="1"/>
      <c r="Q33" s="1"/>
      <c r="R33" s="1"/>
      <c r="S33" s="1"/>
      <c r="T33" s="1"/>
      <c r="U33" s="1"/>
      <c r="V33" s="1"/>
      <c r="W33" s="1"/>
      <c r="X33" s="1"/>
      <c r="Y33" s="1"/>
      <c r="Z33" s="1"/>
    </row>
    <row r="34" spans="1:26" ht="59.25" customHeight="1" x14ac:dyDescent="0.2">
      <c r="A34" s="1"/>
      <c r="B34" s="8"/>
      <c r="C34" s="174" t="s">
        <v>48</v>
      </c>
      <c r="D34" s="175"/>
      <c r="E34" s="176" t="s">
        <v>49</v>
      </c>
      <c r="F34" s="177"/>
      <c r="G34" s="9"/>
      <c r="H34" s="12"/>
      <c r="I34" s="1"/>
      <c r="J34" s="1"/>
      <c r="K34" s="1"/>
      <c r="L34" s="1"/>
      <c r="M34" s="1"/>
      <c r="N34" s="1"/>
      <c r="O34" s="1"/>
      <c r="P34" s="1"/>
      <c r="Q34" s="1"/>
      <c r="R34" s="1"/>
      <c r="S34" s="1"/>
      <c r="T34" s="1"/>
      <c r="U34" s="1"/>
      <c r="V34" s="1"/>
      <c r="W34" s="1"/>
      <c r="X34" s="1"/>
      <c r="Y34" s="1"/>
      <c r="Z34" s="1"/>
    </row>
    <row r="35" spans="1:26" ht="29.25" customHeight="1" x14ac:dyDescent="0.2">
      <c r="A35" s="1"/>
      <c r="B35" s="8"/>
      <c r="C35" s="174" t="s">
        <v>50</v>
      </c>
      <c r="D35" s="175"/>
      <c r="E35" s="176" t="s">
        <v>51</v>
      </c>
      <c r="F35" s="177"/>
      <c r="G35" s="9"/>
      <c r="H35" s="12"/>
      <c r="I35" s="1"/>
      <c r="J35" s="1"/>
      <c r="K35" s="1"/>
      <c r="L35" s="1"/>
      <c r="M35" s="1"/>
      <c r="N35" s="1"/>
      <c r="O35" s="1"/>
      <c r="P35" s="1"/>
      <c r="Q35" s="1"/>
      <c r="R35" s="1"/>
      <c r="S35" s="1"/>
      <c r="T35" s="1"/>
      <c r="U35" s="1"/>
      <c r="V35" s="1"/>
      <c r="W35" s="1"/>
      <c r="X35" s="1"/>
      <c r="Y35" s="1"/>
      <c r="Z35" s="1"/>
    </row>
    <row r="36" spans="1:26" ht="82.5" customHeight="1" x14ac:dyDescent="0.2">
      <c r="A36" s="1"/>
      <c r="B36" s="8"/>
      <c r="C36" s="174" t="s">
        <v>52</v>
      </c>
      <c r="D36" s="175"/>
      <c r="E36" s="176" t="s">
        <v>53</v>
      </c>
      <c r="F36" s="177"/>
      <c r="G36" s="9"/>
      <c r="H36" s="12"/>
      <c r="I36" s="1"/>
      <c r="J36" s="1"/>
      <c r="K36" s="1"/>
      <c r="L36" s="1"/>
      <c r="M36" s="1"/>
      <c r="N36" s="1"/>
      <c r="O36" s="1"/>
      <c r="P36" s="1"/>
      <c r="Q36" s="1"/>
      <c r="R36" s="1"/>
      <c r="S36" s="1"/>
      <c r="T36" s="1"/>
      <c r="U36" s="1"/>
      <c r="V36" s="1"/>
      <c r="W36" s="1"/>
      <c r="X36" s="1"/>
      <c r="Y36" s="1"/>
      <c r="Z36" s="1"/>
    </row>
    <row r="37" spans="1:26" ht="46.5" customHeight="1" x14ac:dyDescent="0.2">
      <c r="A37" s="1"/>
      <c r="B37" s="8"/>
      <c r="C37" s="174" t="s">
        <v>54</v>
      </c>
      <c r="D37" s="175"/>
      <c r="E37" s="176" t="s">
        <v>55</v>
      </c>
      <c r="F37" s="177"/>
      <c r="G37" s="9"/>
      <c r="H37" s="12"/>
      <c r="I37" s="1"/>
      <c r="J37" s="1"/>
      <c r="K37" s="1"/>
      <c r="L37" s="1"/>
      <c r="M37" s="1"/>
      <c r="N37" s="1"/>
      <c r="O37" s="1"/>
      <c r="P37" s="1"/>
      <c r="Q37" s="1"/>
      <c r="R37" s="1"/>
      <c r="S37" s="1"/>
      <c r="T37" s="1"/>
      <c r="U37" s="1"/>
      <c r="V37" s="1"/>
      <c r="W37" s="1"/>
      <c r="X37" s="1"/>
      <c r="Y37" s="1"/>
      <c r="Z37" s="1"/>
    </row>
    <row r="38" spans="1:26" ht="6.75" customHeight="1" x14ac:dyDescent="0.2">
      <c r="A38" s="1"/>
      <c r="B38" s="8"/>
      <c r="C38" s="183"/>
      <c r="D38" s="184"/>
      <c r="E38" s="178"/>
      <c r="F38" s="179"/>
      <c r="G38" s="9"/>
      <c r="H38" s="12"/>
      <c r="I38" s="1"/>
      <c r="J38" s="1"/>
      <c r="K38" s="1"/>
      <c r="L38" s="1"/>
      <c r="M38" s="1"/>
      <c r="N38" s="1"/>
      <c r="O38" s="1"/>
      <c r="P38" s="1"/>
      <c r="Q38" s="1"/>
      <c r="R38" s="1"/>
      <c r="S38" s="1"/>
      <c r="T38" s="1"/>
      <c r="U38" s="1"/>
      <c r="V38" s="1"/>
      <c r="W38" s="1"/>
      <c r="X38" s="1"/>
      <c r="Y38" s="1"/>
      <c r="Z38" s="1"/>
    </row>
    <row r="39" spans="1:26" ht="15.75" customHeight="1" x14ac:dyDescent="0.2">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
      <c r="A40" s="1"/>
      <c r="B40" s="180" t="s">
        <v>56</v>
      </c>
      <c r="C40" s="181"/>
      <c r="D40" s="181"/>
      <c r="E40" s="181"/>
      <c r="F40" s="181"/>
      <c r="G40" s="181"/>
      <c r="H40" s="182"/>
      <c r="I40" s="1"/>
      <c r="J40" s="1"/>
      <c r="K40" s="1"/>
      <c r="L40" s="1"/>
      <c r="M40" s="1"/>
      <c r="N40" s="1"/>
      <c r="O40" s="1"/>
      <c r="P40" s="1"/>
      <c r="Q40" s="1"/>
      <c r="R40" s="1"/>
      <c r="S40" s="1"/>
      <c r="T40" s="1"/>
      <c r="U40" s="1"/>
      <c r="V40" s="1"/>
      <c r="W40" s="1"/>
      <c r="X40" s="1"/>
      <c r="Y40" s="1"/>
      <c r="Z40" s="1"/>
    </row>
    <row r="41" spans="1:26" ht="20.25" customHeight="1" x14ac:dyDescent="0.2">
      <c r="A41" s="1"/>
      <c r="B41" s="180" t="s">
        <v>57</v>
      </c>
      <c r="C41" s="181"/>
      <c r="D41" s="181"/>
      <c r="E41" s="181"/>
      <c r="F41" s="181"/>
      <c r="G41" s="181"/>
      <c r="H41" s="182"/>
      <c r="I41" s="1"/>
      <c r="J41" s="1"/>
      <c r="K41" s="1"/>
      <c r="L41" s="1"/>
      <c r="M41" s="1"/>
      <c r="N41" s="1"/>
      <c r="O41" s="1"/>
      <c r="P41" s="1"/>
      <c r="Q41" s="1"/>
      <c r="R41" s="1"/>
      <c r="S41" s="1"/>
      <c r="T41" s="1"/>
      <c r="U41" s="1"/>
      <c r="V41" s="1"/>
      <c r="W41" s="1"/>
      <c r="X41" s="1"/>
      <c r="Y41" s="1"/>
      <c r="Z41" s="1"/>
    </row>
    <row r="42" spans="1:26" ht="20.25" customHeight="1" x14ac:dyDescent="0.2">
      <c r="A42" s="1"/>
      <c r="B42" s="180" t="s">
        <v>58</v>
      </c>
      <c r="C42" s="181"/>
      <c r="D42" s="181"/>
      <c r="E42" s="181"/>
      <c r="F42" s="181"/>
      <c r="G42" s="181"/>
      <c r="H42" s="182"/>
      <c r="I42" s="1"/>
      <c r="J42" s="1"/>
      <c r="K42" s="1"/>
      <c r="L42" s="1"/>
      <c r="M42" s="1"/>
      <c r="N42" s="1"/>
      <c r="O42" s="1"/>
      <c r="P42" s="1"/>
      <c r="Q42" s="1"/>
      <c r="R42" s="1"/>
      <c r="S42" s="1"/>
      <c r="T42" s="1"/>
      <c r="U42" s="1"/>
      <c r="V42" s="1"/>
      <c r="W42" s="1"/>
      <c r="X42" s="1"/>
      <c r="Y42" s="1"/>
      <c r="Z42" s="1"/>
    </row>
    <row r="43" spans="1:26" ht="20.25" customHeight="1" x14ac:dyDescent="0.2">
      <c r="A43" s="1"/>
      <c r="B43" s="180" t="s">
        <v>59</v>
      </c>
      <c r="C43" s="181"/>
      <c r="D43" s="181"/>
      <c r="E43" s="181"/>
      <c r="F43" s="181"/>
      <c r="G43" s="181"/>
      <c r="H43" s="182"/>
      <c r="I43" s="1"/>
      <c r="J43" s="1"/>
      <c r="K43" s="1"/>
      <c r="L43" s="1"/>
      <c r="M43" s="1"/>
      <c r="N43" s="1"/>
      <c r="O43" s="1"/>
      <c r="P43" s="1"/>
      <c r="Q43" s="1"/>
      <c r="R43" s="1"/>
      <c r="S43" s="1"/>
      <c r="T43" s="1"/>
      <c r="U43" s="1"/>
      <c r="V43" s="1"/>
      <c r="W43" s="1"/>
      <c r="X43" s="1"/>
      <c r="Y43" s="1"/>
      <c r="Z43" s="1"/>
    </row>
    <row r="44" spans="1:26" ht="15.75" customHeight="1" x14ac:dyDescent="0.2">
      <c r="A44" s="1"/>
      <c r="B44" s="180" t="s">
        <v>60</v>
      </c>
      <c r="C44" s="181"/>
      <c r="D44" s="181"/>
      <c r="E44" s="181"/>
      <c r="F44" s="181"/>
      <c r="G44" s="181"/>
      <c r="H44" s="182"/>
      <c r="I44" s="1"/>
      <c r="J44" s="1"/>
      <c r="K44" s="1"/>
      <c r="L44" s="1"/>
      <c r="M44" s="1"/>
      <c r="N44" s="1"/>
      <c r="O44" s="1"/>
      <c r="P44" s="1"/>
      <c r="Q44" s="1"/>
      <c r="R44" s="1"/>
      <c r="S44" s="1"/>
      <c r="T44" s="1"/>
      <c r="U44" s="1"/>
      <c r="V44" s="1"/>
      <c r="W44" s="1"/>
      <c r="X44" s="1"/>
      <c r="Y44" s="1"/>
      <c r="Z44" s="1"/>
    </row>
    <row r="45" spans="1:26" ht="15.75" customHeight="1" x14ac:dyDescent="0.2">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670"/>
  <sheetViews>
    <sheetView tabSelected="1" topLeftCell="A29" zoomScale="142" zoomScaleNormal="70" workbookViewId="0">
      <selection activeCell="C31" sqref="C31:C32"/>
    </sheetView>
  </sheetViews>
  <sheetFormatPr baseColWidth="10" defaultColWidth="12.5" defaultRowHeight="15" customHeight="1" x14ac:dyDescent="0.15"/>
  <cols>
    <col min="1" max="1" width="3.5" customWidth="1"/>
    <col min="2" max="2" width="25.33203125" customWidth="1"/>
    <col min="3" max="3" width="14.6640625" customWidth="1"/>
    <col min="4" max="4" width="11.5" customWidth="1"/>
    <col min="5" max="5" width="18" hidden="1" customWidth="1"/>
    <col min="6" max="6" width="18.5" customWidth="1"/>
    <col min="7" max="7" width="28.5" customWidth="1"/>
    <col min="8" max="8" width="28.33203125" customWidth="1"/>
    <col min="9" max="9" width="16.5" customWidth="1"/>
    <col min="10" max="11" width="15.5" customWidth="1"/>
    <col min="12" max="12" width="14.1640625" customWidth="1"/>
    <col min="13" max="13" width="5.5" customWidth="1"/>
    <col min="14" max="14" width="16" customWidth="1"/>
    <col min="15" max="15" width="23.1640625" customWidth="1"/>
    <col min="16" max="34" width="10" hidden="1" customWidth="1"/>
    <col min="35" max="35" width="15.33203125" customWidth="1"/>
    <col min="36" max="36" width="5.5" customWidth="1"/>
    <col min="37" max="37" width="14" customWidth="1"/>
    <col min="38" max="38" width="5" customWidth="1"/>
    <col min="39" max="39" width="17.1640625" hidden="1" customWidth="1"/>
    <col min="40" max="40" width="9.1640625" hidden="1" customWidth="1"/>
    <col min="41" max="41" width="22.33203125" hidden="1" customWidth="1"/>
    <col min="42" max="42" width="37" customWidth="1"/>
    <col min="43" max="43" width="13.1640625" customWidth="1"/>
    <col min="44" max="44" width="6" customWidth="1"/>
    <col min="45" max="45" width="4.33203125" customWidth="1"/>
    <col min="46" max="46" width="4.83203125" customWidth="1"/>
    <col min="47" max="47" width="6.1640625" customWidth="1"/>
    <col min="48" max="48" width="5.83203125" customWidth="1"/>
    <col min="49" max="49" width="6.5" customWidth="1"/>
    <col min="50" max="50" width="10.6640625" customWidth="1"/>
    <col min="51" max="51" width="7.5" customWidth="1"/>
    <col min="52" max="52" width="9" customWidth="1"/>
    <col min="53" max="54" width="8" customWidth="1"/>
    <col min="55" max="55" width="7.33203125" customWidth="1"/>
    <col min="56" max="56" width="6.33203125" customWidth="1"/>
    <col min="57" max="57" width="20" customWidth="1"/>
    <col min="58" max="58" width="16.5" customWidth="1"/>
    <col min="59" max="59" width="14.6640625" customWidth="1"/>
    <col min="60" max="60" width="13" customWidth="1"/>
    <col min="61" max="61" width="16.1640625" customWidth="1"/>
    <col min="62" max="62" width="18.33203125" style="138" customWidth="1"/>
    <col min="63" max="82" width="10" style="140" customWidth="1"/>
    <col min="83" max="16384" width="12.5" style="140"/>
  </cols>
  <sheetData>
    <row r="1" spans="1:82" ht="16.5" customHeight="1" x14ac:dyDescent="0.15">
      <c r="A1" s="201" t="s">
        <v>453</v>
      </c>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4"/>
      <c r="BK1" s="139"/>
      <c r="BL1" s="139"/>
      <c r="BM1" s="139"/>
      <c r="BN1" s="139"/>
      <c r="BO1" s="139"/>
      <c r="BP1" s="139"/>
      <c r="BQ1" s="139"/>
      <c r="BR1" s="139"/>
      <c r="BS1" s="139"/>
      <c r="BT1" s="139"/>
      <c r="BU1" s="139"/>
      <c r="BV1" s="139"/>
      <c r="BW1" s="139"/>
      <c r="BX1" s="139"/>
      <c r="BY1" s="139"/>
      <c r="BZ1" s="139"/>
      <c r="CA1" s="139"/>
      <c r="CB1" s="139"/>
      <c r="CC1" s="139"/>
      <c r="CD1" s="139"/>
    </row>
    <row r="2" spans="1:82" ht="24" customHeight="1" x14ac:dyDescent="0.15">
      <c r="A2" s="205"/>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7"/>
      <c r="BK2" s="139"/>
      <c r="BL2" s="139"/>
      <c r="BM2" s="139"/>
      <c r="BN2" s="139"/>
      <c r="BO2" s="139"/>
      <c r="BP2" s="139"/>
      <c r="BQ2" s="139"/>
      <c r="BR2" s="139"/>
      <c r="BS2" s="139"/>
      <c r="BT2" s="139"/>
      <c r="BU2" s="139"/>
      <c r="BV2" s="139"/>
      <c r="BW2" s="139"/>
      <c r="BX2" s="139"/>
      <c r="BY2" s="139"/>
      <c r="BZ2" s="139"/>
      <c r="CA2" s="139"/>
      <c r="CB2" s="139"/>
      <c r="CC2" s="139"/>
      <c r="CD2" s="139"/>
    </row>
    <row r="3" spans="1:82" ht="16.5" customHeight="1" x14ac:dyDescent="0.15">
      <c r="A3" s="19"/>
      <c r="B3" s="134"/>
      <c r="C3" s="20"/>
      <c r="D3" s="19"/>
      <c r="E3" s="19"/>
      <c r="F3" s="19"/>
      <c r="G3" s="19"/>
      <c r="H3" s="18"/>
      <c r="I3" s="21"/>
      <c r="J3" s="18"/>
      <c r="K3" s="18"/>
      <c r="L3" s="18"/>
      <c r="M3" s="18"/>
      <c r="N3" s="18"/>
      <c r="O3" s="18"/>
      <c r="P3" s="127"/>
      <c r="Q3" s="127"/>
      <c r="R3" s="127"/>
      <c r="S3" s="127"/>
      <c r="T3" s="127"/>
      <c r="U3" s="127"/>
      <c r="V3" s="127"/>
      <c r="W3" s="127"/>
      <c r="X3" s="127"/>
      <c r="Y3" s="127"/>
      <c r="Z3" s="127"/>
      <c r="AA3" s="127"/>
      <c r="AB3" s="127"/>
      <c r="AC3" s="127"/>
      <c r="AD3" s="127"/>
      <c r="AE3" s="127"/>
      <c r="AF3" s="127"/>
      <c r="AG3" s="127"/>
      <c r="AH3" s="127"/>
      <c r="AI3" s="18"/>
      <c r="AJ3" s="18"/>
      <c r="AK3" s="18"/>
      <c r="AL3" s="18"/>
      <c r="AM3" s="127"/>
      <c r="AN3" s="127"/>
      <c r="AO3" s="18"/>
      <c r="AP3" s="18"/>
      <c r="AQ3" s="18"/>
      <c r="AR3" s="18"/>
      <c r="AS3" s="18"/>
      <c r="AT3" s="18"/>
      <c r="AU3" s="18"/>
      <c r="AV3" s="18"/>
      <c r="AW3" s="18"/>
      <c r="AX3" s="18"/>
      <c r="AY3" s="18"/>
      <c r="AZ3" s="18"/>
      <c r="BA3" s="18"/>
      <c r="BB3" s="18"/>
      <c r="BC3" s="18"/>
      <c r="BD3" s="18"/>
      <c r="BE3" s="18"/>
      <c r="BF3" s="18"/>
      <c r="BG3" s="18"/>
      <c r="BH3" s="18"/>
      <c r="BI3" s="18"/>
      <c r="BJ3" s="127"/>
      <c r="BK3" s="139"/>
      <c r="BL3" s="139"/>
      <c r="BM3" s="139"/>
      <c r="BN3" s="139"/>
      <c r="BO3" s="139"/>
      <c r="BP3" s="139"/>
      <c r="BQ3" s="139"/>
      <c r="BR3" s="139"/>
      <c r="BS3" s="139"/>
      <c r="BT3" s="139"/>
      <c r="BU3" s="139"/>
      <c r="BV3" s="139"/>
      <c r="BW3" s="139"/>
      <c r="BX3" s="139"/>
      <c r="BY3" s="139"/>
      <c r="BZ3" s="139"/>
      <c r="CA3" s="139"/>
      <c r="CB3" s="139"/>
      <c r="CC3" s="139"/>
      <c r="CD3" s="139"/>
    </row>
    <row r="4" spans="1:82" ht="40.5" customHeight="1" x14ac:dyDescent="0.25">
      <c r="A4" s="210" t="s">
        <v>61</v>
      </c>
      <c r="B4" s="211"/>
      <c r="C4" s="212"/>
      <c r="D4" s="212"/>
      <c r="E4" s="212"/>
      <c r="F4" s="212"/>
      <c r="G4" s="212"/>
      <c r="H4" s="212"/>
      <c r="I4" s="212"/>
      <c r="J4" s="212"/>
      <c r="K4" s="213"/>
      <c r="L4" s="214" t="s">
        <v>62</v>
      </c>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6"/>
      <c r="AL4" s="210" t="s">
        <v>63</v>
      </c>
      <c r="AM4" s="211"/>
      <c r="AN4" s="211"/>
      <c r="AO4" s="211"/>
      <c r="AP4" s="212"/>
      <c r="AQ4" s="212"/>
      <c r="AR4" s="212"/>
      <c r="AS4" s="212"/>
      <c r="AT4" s="212"/>
      <c r="AU4" s="212"/>
      <c r="AV4" s="212"/>
      <c r="AW4" s="213"/>
      <c r="AX4" s="210" t="s">
        <v>64</v>
      </c>
      <c r="AY4" s="212"/>
      <c r="AZ4" s="212"/>
      <c r="BA4" s="212"/>
      <c r="BB4" s="212"/>
      <c r="BC4" s="212"/>
      <c r="BD4" s="213"/>
      <c r="BE4" s="210" t="s">
        <v>65</v>
      </c>
      <c r="BF4" s="212"/>
      <c r="BG4" s="212"/>
      <c r="BH4" s="212"/>
      <c r="BI4" s="212"/>
      <c r="BJ4" s="213"/>
      <c r="BK4" s="139"/>
      <c r="BL4" s="139"/>
      <c r="BM4" s="139"/>
      <c r="BN4" s="139"/>
      <c r="BO4" s="139"/>
      <c r="BP4" s="139"/>
      <c r="BQ4" s="139"/>
      <c r="BR4" s="139"/>
      <c r="BS4" s="139"/>
      <c r="BT4" s="139"/>
      <c r="BU4" s="139"/>
      <c r="BV4" s="139"/>
      <c r="BW4" s="139"/>
      <c r="BX4" s="139"/>
      <c r="BY4" s="139"/>
      <c r="BZ4" s="139"/>
      <c r="CA4" s="139"/>
      <c r="CB4" s="139"/>
      <c r="CC4" s="139"/>
      <c r="CD4" s="139"/>
    </row>
    <row r="5" spans="1:82" ht="16.5" customHeight="1" x14ac:dyDescent="0.15">
      <c r="A5" s="217" t="s">
        <v>66</v>
      </c>
      <c r="B5" s="193" t="s">
        <v>7</v>
      </c>
      <c r="C5" s="193" t="s">
        <v>15</v>
      </c>
      <c r="D5" s="195" t="s">
        <v>207</v>
      </c>
      <c r="E5" s="199" t="s">
        <v>208</v>
      </c>
      <c r="F5" s="195" t="s">
        <v>385</v>
      </c>
      <c r="G5" s="195" t="s">
        <v>386</v>
      </c>
      <c r="H5" s="197" t="s">
        <v>21</v>
      </c>
      <c r="I5" s="198" t="s">
        <v>23</v>
      </c>
      <c r="J5" s="195" t="s">
        <v>222</v>
      </c>
      <c r="K5" s="195" t="s">
        <v>387</v>
      </c>
      <c r="L5" s="195" t="s">
        <v>67</v>
      </c>
      <c r="M5" s="220" t="s">
        <v>68</v>
      </c>
      <c r="N5" s="198" t="s">
        <v>255</v>
      </c>
      <c r="O5" s="198" t="s">
        <v>69</v>
      </c>
      <c r="P5" s="222" t="s">
        <v>384</v>
      </c>
      <c r="Q5" s="223"/>
      <c r="R5" s="223"/>
      <c r="S5" s="223"/>
      <c r="T5" s="223"/>
      <c r="U5" s="223"/>
      <c r="V5" s="223"/>
      <c r="W5" s="223"/>
      <c r="X5" s="223"/>
      <c r="Y5" s="223"/>
      <c r="Z5" s="223"/>
      <c r="AA5" s="223"/>
      <c r="AB5" s="223"/>
      <c r="AC5" s="223"/>
      <c r="AD5" s="223"/>
      <c r="AE5" s="223"/>
      <c r="AF5" s="223"/>
      <c r="AG5" s="223"/>
      <c r="AH5" s="224"/>
      <c r="AI5" s="221" t="s">
        <v>70</v>
      </c>
      <c r="AJ5" s="220" t="s">
        <v>68</v>
      </c>
      <c r="AK5" s="195" t="s">
        <v>29</v>
      </c>
      <c r="AL5" s="219" t="s">
        <v>71</v>
      </c>
      <c r="AM5" s="225" t="s">
        <v>252</v>
      </c>
      <c r="AN5" s="226"/>
      <c r="AO5" s="227"/>
      <c r="AP5" s="198" t="s">
        <v>31</v>
      </c>
      <c r="AQ5" s="198" t="s">
        <v>33</v>
      </c>
      <c r="AR5" s="218" t="s">
        <v>72</v>
      </c>
      <c r="AS5" s="212"/>
      <c r="AT5" s="212"/>
      <c r="AU5" s="212"/>
      <c r="AV5" s="212"/>
      <c r="AW5" s="213"/>
      <c r="AX5" s="219" t="s">
        <v>73</v>
      </c>
      <c r="AY5" s="219" t="s">
        <v>74</v>
      </c>
      <c r="AZ5" s="219" t="s">
        <v>68</v>
      </c>
      <c r="BA5" s="219" t="s">
        <v>75</v>
      </c>
      <c r="BB5" s="219" t="s">
        <v>68</v>
      </c>
      <c r="BC5" s="219" t="s">
        <v>76</v>
      </c>
      <c r="BD5" s="219" t="s">
        <v>50</v>
      </c>
      <c r="BE5" s="198" t="s">
        <v>65</v>
      </c>
      <c r="BF5" s="198" t="s">
        <v>77</v>
      </c>
      <c r="BG5" s="198" t="s">
        <v>78</v>
      </c>
      <c r="BH5" s="198" t="s">
        <v>79</v>
      </c>
      <c r="BI5" s="198" t="s">
        <v>80</v>
      </c>
      <c r="BJ5" s="208" t="s">
        <v>54</v>
      </c>
      <c r="BK5" s="139"/>
      <c r="BL5" s="139"/>
      <c r="BM5" s="139"/>
      <c r="BN5" s="139"/>
      <c r="BO5" s="139"/>
      <c r="BP5" s="139"/>
      <c r="BQ5" s="139"/>
      <c r="BR5" s="139"/>
      <c r="BS5" s="139"/>
      <c r="BT5" s="139"/>
      <c r="BU5" s="139"/>
      <c r="BV5" s="139"/>
      <c r="BW5" s="139"/>
      <c r="BX5" s="139"/>
      <c r="BY5" s="139"/>
      <c r="BZ5" s="139"/>
      <c r="CA5" s="139"/>
      <c r="CB5" s="139"/>
      <c r="CC5" s="139"/>
      <c r="CD5" s="139"/>
    </row>
    <row r="6" spans="1:82" ht="59.5" customHeight="1" x14ac:dyDescent="0.15">
      <c r="A6" s="194"/>
      <c r="B6" s="194"/>
      <c r="C6" s="194"/>
      <c r="D6" s="194"/>
      <c r="E6" s="200"/>
      <c r="F6" s="196"/>
      <c r="G6" s="194"/>
      <c r="H6" s="194"/>
      <c r="I6" s="194"/>
      <c r="J6" s="194"/>
      <c r="K6" s="194"/>
      <c r="L6" s="194"/>
      <c r="M6" s="209"/>
      <c r="N6" s="194"/>
      <c r="O6" s="194"/>
      <c r="P6" s="130" t="s">
        <v>256</v>
      </c>
      <c r="Q6" s="130" t="s">
        <v>257</v>
      </c>
      <c r="R6" s="130" t="s">
        <v>258</v>
      </c>
      <c r="S6" s="130" t="s">
        <v>259</v>
      </c>
      <c r="T6" s="130" t="s">
        <v>261</v>
      </c>
      <c r="U6" s="130" t="s">
        <v>260</v>
      </c>
      <c r="V6" s="130" t="s">
        <v>262</v>
      </c>
      <c r="W6" s="130" t="s">
        <v>263</v>
      </c>
      <c r="X6" s="130" t="s">
        <v>264</v>
      </c>
      <c r="Y6" s="130" t="s">
        <v>265</v>
      </c>
      <c r="Z6" s="130" t="s">
        <v>266</v>
      </c>
      <c r="AA6" s="130" t="s">
        <v>267</v>
      </c>
      <c r="AB6" s="130" t="s">
        <v>268</v>
      </c>
      <c r="AC6" s="130" t="s">
        <v>269</v>
      </c>
      <c r="AD6" s="130" t="s">
        <v>270</v>
      </c>
      <c r="AE6" s="130" t="s">
        <v>271</v>
      </c>
      <c r="AF6" s="130" t="s">
        <v>272</v>
      </c>
      <c r="AG6" s="130" t="s">
        <v>273</v>
      </c>
      <c r="AH6" s="130" t="s">
        <v>274</v>
      </c>
      <c r="AI6" s="209"/>
      <c r="AJ6" s="209"/>
      <c r="AK6" s="194"/>
      <c r="AL6" s="194"/>
      <c r="AM6" s="132" t="s">
        <v>382</v>
      </c>
      <c r="AN6" s="133" t="s">
        <v>383</v>
      </c>
      <c r="AO6" s="132" t="s">
        <v>381</v>
      </c>
      <c r="AP6" s="194"/>
      <c r="AQ6" s="194"/>
      <c r="AR6" s="22" t="s">
        <v>81</v>
      </c>
      <c r="AS6" s="22" t="s">
        <v>82</v>
      </c>
      <c r="AT6" s="22" t="s">
        <v>83</v>
      </c>
      <c r="AU6" s="22" t="s">
        <v>84</v>
      </c>
      <c r="AV6" s="22" t="s">
        <v>85</v>
      </c>
      <c r="AW6" s="22" t="s">
        <v>86</v>
      </c>
      <c r="AX6" s="194"/>
      <c r="AY6" s="194"/>
      <c r="AZ6" s="194"/>
      <c r="BA6" s="194"/>
      <c r="BB6" s="194"/>
      <c r="BC6" s="194"/>
      <c r="BD6" s="194"/>
      <c r="BE6" s="194"/>
      <c r="BF6" s="194"/>
      <c r="BG6" s="194"/>
      <c r="BH6" s="194"/>
      <c r="BI6" s="194"/>
      <c r="BJ6" s="209"/>
      <c r="BK6" s="141"/>
      <c r="BL6" s="141"/>
      <c r="BM6" s="141"/>
      <c r="BN6" s="141"/>
      <c r="BO6" s="141"/>
      <c r="BP6" s="141"/>
      <c r="BQ6" s="141"/>
      <c r="BR6" s="141"/>
      <c r="BS6" s="141"/>
      <c r="BT6" s="141"/>
      <c r="BU6" s="141"/>
      <c r="BV6" s="141"/>
      <c r="BW6" s="141"/>
      <c r="BX6" s="141"/>
      <c r="BY6" s="141"/>
      <c r="BZ6" s="141"/>
      <c r="CA6" s="141"/>
      <c r="CB6" s="141"/>
      <c r="CC6" s="141"/>
      <c r="CD6" s="141"/>
    </row>
    <row r="7" spans="1:82" ht="67" customHeight="1" x14ac:dyDescent="0.15">
      <c r="A7" s="185">
        <v>1</v>
      </c>
      <c r="B7" s="190" t="s">
        <v>396</v>
      </c>
      <c r="C7" s="190" t="s">
        <v>393</v>
      </c>
      <c r="D7" s="190" t="s">
        <v>391</v>
      </c>
      <c r="E7" s="192"/>
      <c r="F7" s="190" t="s">
        <v>397</v>
      </c>
      <c r="G7" s="190" t="s">
        <v>398</v>
      </c>
      <c r="H7" s="192" t="str">
        <f>_xlfn.CONCAT("Posibilidad de efecto dañoso ",IF(C7='Opciones Tratamiento'!$E$2,"económica",IF(C7='Opciones Tratamiento'!$E$4,"económica y reputacional",LOWER(C7)))," por ",LOWER(F7), ", debido a ",LOWER(G7))</f>
        <v>Posibilidad de efecto dañoso sobre recursos públicos por contratación de bienes y servicios no relacionados con las funciones de la entidad y que no generan utilidad , debido a debilidades en la definición de las necesidades por parte de las áreas</v>
      </c>
      <c r="I7" s="190" t="s">
        <v>395</v>
      </c>
      <c r="J7" s="185" t="s">
        <v>224</v>
      </c>
      <c r="K7" s="185" t="s">
        <v>233</v>
      </c>
      <c r="L7" s="187" t="str">
        <f>IF(OR(K7='Opciones Tratamiento'!$K$14,K7='Opciones Tratamiento'!$K$15,K7='Opciones Tratamiento'!$K$16),"Muy Baja",IF(OR(K7='Opciones Tratamiento'!$K$10,K7='Opciones Tratamiento'!$K$11,K7='Opciones Tratamiento'!$K$12,K7='Opciones Tratamiento'!$K$13),"Baja",IF(OR(K7='Opciones Tratamiento'!$K$4,K7='Opciones Tratamiento'!$K$5,K7='Opciones Tratamiento'!$K$6,K7='Opciones Tratamiento'!$K$7,K7='Opciones Tratamiento'!$K$8,K7='Opciones Tratamiento'!$K$9),"Media",IF(K7='Opciones Tratamiento'!$K$3,"Alta",IF(OR(K7='Opciones Tratamiento'!$K$2,K7='Opciones Tratamiento'!$K$17),"Muy Alta")))))</f>
        <v>Alta</v>
      </c>
      <c r="M7" s="188">
        <f>IF(L7="","",IF(L7="Muy Baja",0.2,IF(L7="Baja",0.4,IF(L7="Media",0.6,IF(L7="Alta",0.8,IF(L7="Muy Alta",1,))))))</f>
        <v>0.8</v>
      </c>
      <c r="N7" s="188" t="s">
        <v>148</v>
      </c>
      <c r="O7" s="188" t="str">
        <f ca="1">IF(NOT(ISERROR(MATCH(N7,'Tabla Impacto'!$B$221:$B$223,0))),'Tabla Impacto'!$F$223&amp;"Por favor no seleccionar los criterios de impacto(Afectación Económica o presupuestal y Pérdida Reputacional)",N7)</f>
        <v xml:space="preserve">     Mayor a 500 SMLMV </v>
      </c>
      <c r="P7" s="126"/>
      <c r="Q7" s="126"/>
      <c r="R7" s="126"/>
      <c r="S7" s="126"/>
      <c r="T7" s="126"/>
      <c r="U7" s="126"/>
      <c r="V7" s="126"/>
      <c r="W7" s="126"/>
      <c r="X7" s="126"/>
      <c r="Y7" s="126"/>
      <c r="Z7" s="126"/>
      <c r="AA7" s="126"/>
      <c r="AB7" s="126"/>
      <c r="AC7" s="126"/>
      <c r="AD7" s="126"/>
      <c r="AE7" s="126"/>
      <c r="AF7" s="126"/>
      <c r="AG7" s="126"/>
      <c r="AH7" s="126"/>
      <c r="AI7" s="187" t="str">
        <f ca="1">IF(OR(D7='Opciones Tratamiento'!$H$2,D7='Opciones Tratamiento'!$H$4),IF(OR(O7='Tabla Impacto'!$C$11,O7='Tabla Impacto'!$D$11),"Leve",IF(OR(O7='Tabla Impacto'!$C$12,O7='Tabla Impacto'!$D$12),"Menor",IF(OR(O7='Tabla Impacto'!$C$13,O7='Tabla Impacto'!$D$13),"Moderado",IF(OR(O7='Tabla Impacto'!$C$14,O7='Tabla Impacto'!$D$14),"Mayor",IF(OR(O7='Tabla Impacto'!$C$15,O7='Tabla Impacto'!$D$15),"Catastrófico",""))))),IF(D7='Opciones Tratamiento'!$H$3,IF(COUNTIF('Mapa final'!P7:AH7,"Si")&lt;=5,"Moderado",IF(AND(COUNTIF('Mapa final'!P7:AH7,"Si")&gt;5,COUNTIF('Mapa final'!P7:AH7,"Si")&lt;=10),"Mayor",IF(COUNTIF('Mapa final'!P7:AH7,"Si")&gt;10,"Catastrófico","")))))</f>
        <v>Catastrófico</v>
      </c>
      <c r="AJ7" s="188">
        <f ca="1">IF(AI7="","",IF(AI7="Leve",0.2,IF(AI7="Menor",0.4,IF(AI7="Moderado",0.6,IF(AI7="Mayor",0.8,IF(AI7="Catastrófico",1,))))))</f>
        <v>1</v>
      </c>
      <c r="AK7" s="189" t="str">
        <f ca="1">IF(OR(AND(L7="Muy Baja",AI7="Leve"),AND(L7="Muy Baja",AI7="Menor"),AND(L7="Baja",AI7="Leve")),"Bajo",IF(OR(AND(L7="Muy baja",AI7="Moderado"),AND(L7="Baja",AI7="Menor"),AND(L7="Baja",AI7="Moderado"),AND(L7="Media",AI7="Leve"),AND(L7="Media",AI7="Menor"),AND(L7="Media",AI7="Moderado"),AND(L7="Alta",AI7="Leve"),AND(L7="Alta",AI7="Menor")),"Moderado",IF(OR(AND(L7="Muy Baja",AI7="Mayor"),AND(L7="Baja",AI7="Mayor"),AND(L7="Media",AI7="Mayor"),AND(L7="Alta",AI7="Moderado"),AND(L7="Alta",AI7="Mayor"),AND(L7="Muy Alta",AI7="Leve"),AND(L7="Muy Alta",AI7="Menor"),AND(L7="Muy Alta",AI7="Moderado"),AND(L7="Muy Alta",AI7="Mayor")),"Alto",IF(OR(AND(L7="Muy Baja",AI7="Catastrófico"),AND(L7="Baja",AI7="Catastrófico"),AND(L7="Media",AI7="Catastrófico"),AND(L7="Alta",AI7="Catastrófico"),AND(L7="Muy Alta",AI7="Catastrófico")),"Extremo",""))))</f>
        <v>Extremo</v>
      </c>
      <c r="AL7" s="23">
        <v>1</v>
      </c>
      <c r="AM7" s="23"/>
      <c r="AN7" s="23" t="e">
        <f>VLOOKUP(AM7,'Opciones Tratamiento'!$M$2:$O$37,3,FALSE)</f>
        <v>#N/A</v>
      </c>
      <c r="AO7" s="24" t="e">
        <f>VLOOKUP(AM7,'Opciones Tratamiento'!$M$2:$O$37,2,FALSE)</f>
        <v>#N/A</v>
      </c>
      <c r="AP7" s="131" t="s">
        <v>399</v>
      </c>
      <c r="AQ7" s="23" t="str">
        <f t="shared" ref="AQ7:AQ11" si="0">IF(OR(AR7="Preventivo",AR7="Detectivo"),"Probabilidad",IF(AR7="Correctivo","Impacto",""))</f>
        <v>Probabilidad</v>
      </c>
      <c r="AR7" s="25" t="s">
        <v>161</v>
      </c>
      <c r="AS7" s="25" t="s">
        <v>169</v>
      </c>
      <c r="AT7" s="26" t="str">
        <f t="shared" ref="AT7:AT11" si="1">IF(AND(AR7="Preventivo",AS7="Automático"),"50%",IF(AND(AR7="Preventivo",AS7="Manual"),"40%",IF(AND(AR7="Detectivo",AS7="Automático"),"40%",IF(AND(AR7="Detectivo",AS7="Manual"),"30%",IF(AND(AR7="Correctivo",AS7="Automático"),"35%",IF(AND(AR7="Correctivo",AS7="Manual"),"25%",""))))))</f>
        <v>40%</v>
      </c>
      <c r="AU7" s="25" t="s">
        <v>172</v>
      </c>
      <c r="AV7" s="25" t="s">
        <v>177</v>
      </c>
      <c r="AW7" s="25" t="s">
        <v>181</v>
      </c>
      <c r="AX7" s="27">
        <f>IFERROR(IF(AQ7="Probabilidad",(M7-(+M7*AT7)),IF(AQ7="Impacto",M7,"")),"")</f>
        <v>0.48</v>
      </c>
      <c r="AY7" s="28" t="str">
        <f t="shared" ref="AY7:AY11" si="2">IFERROR(IF(AX7="","",IF(AX7&lt;=0.2,"Muy Baja",IF(AX7&lt;=0.4,"Baja",IF(AX7&lt;=0.6,"Media",IF(AX7&lt;=0.8,"Alta","Muy Alta"))))),"")</f>
        <v>Media</v>
      </c>
      <c r="AZ7" s="29">
        <f t="shared" ref="AZ7:AZ11" si="3">+AX7</f>
        <v>0.48</v>
      </c>
      <c r="BA7" s="28" t="str">
        <f t="shared" ref="BA7:BA11" ca="1" si="4">IFERROR(IF(BB7="","",IF(BB7&lt;=0.2,"Leve",IF(BB7&lt;=0.4,"Menor",IF(BB7&lt;=0.6,"Moderado",IF(BB7&lt;=0.8,"Mayor","Catastrófico"))))),"")</f>
        <v>Catastrófico</v>
      </c>
      <c r="BB7" s="29">
        <f ca="1">IFERROR(IF(AQ7="Impacto",(AJ7-(+AJ7*AT7)),IF(AQ7="Probabilidad",AJ7,"")),"")</f>
        <v>1</v>
      </c>
      <c r="BC7" s="30" t="str">
        <f t="shared" ref="BC7:BC11" ca="1" si="5">IFERROR(IF(OR(AND(AY7="Muy Baja",BA7="Leve"),AND(AY7="Muy Baja",BA7="Menor"),AND(AY7="Baja",BA7="Leve")),"Bajo",IF(OR(AND(AY7="Muy baja",BA7="Moderado"),AND(AY7="Baja",BA7="Menor"),AND(AY7="Baja",BA7="Moderado"),AND(AY7="Media",BA7="Leve"),AND(AY7="Media",BA7="Menor"),AND(AY7="Media",BA7="Moderado"),AND(AY7="Alta",BA7="Leve"),AND(AY7="Alta",BA7="Menor")),"Moderado",IF(OR(AND(AY7="Muy Baja",BA7="Mayor"),AND(AY7="Baja",BA7="Mayor"),AND(AY7="Media",BA7="Mayor"),AND(AY7="Alta",BA7="Moderado"),AND(AY7="Alta",BA7="Mayor"),AND(AY7="Muy Alta",BA7="Leve"),AND(AY7="Muy Alta",BA7="Menor"),AND(AY7="Muy Alta",BA7="Moderado"),AND(AY7="Muy Alta",BA7="Mayor")),"Alto",IF(OR(AND(AY7="Muy Baja",BA7="Catastrófico"),AND(AY7="Baja",BA7="Catastrófico"),AND(AY7="Media",BA7="Catastrófico"),AND(AY7="Alta",BA7="Catastrófico"),AND(AY7="Muy Alta",BA7="Catastrófico")),"Extremo","")))),"")</f>
        <v>Extremo</v>
      </c>
      <c r="BD7" s="31" t="s">
        <v>192</v>
      </c>
      <c r="BE7" s="32"/>
      <c r="BF7" s="23"/>
      <c r="BG7" s="33"/>
      <c r="BH7" s="33"/>
      <c r="BI7" s="32"/>
      <c r="BJ7" s="136"/>
      <c r="BK7" s="142"/>
      <c r="BL7" s="142"/>
      <c r="BM7" s="142"/>
      <c r="BN7" s="142"/>
      <c r="BO7" s="142"/>
      <c r="BP7" s="142"/>
      <c r="BQ7" s="142"/>
      <c r="BR7" s="142"/>
      <c r="BS7" s="142"/>
      <c r="BT7" s="142"/>
      <c r="BU7" s="142"/>
      <c r="BV7" s="142"/>
      <c r="BW7" s="142"/>
      <c r="BX7" s="142"/>
      <c r="BY7" s="142"/>
      <c r="BZ7" s="142"/>
      <c r="CA7" s="142"/>
      <c r="CB7" s="142"/>
      <c r="CC7" s="142"/>
      <c r="CD7" s="142"/>
    </row>
    <row r="8" spans="1:82" ht="67" customHeight="1" x14ac:dyDescent="0.15">
      <c r="A8" s="186"/>
      <c r="B8" s="191"/>
      <c r="C8" s="191"/>
      <c r="D8" s="191"/>
      <c r="E8" s="186"/>
      <c r="F8" s="191"/>
      <c r="G8" s="191"/>
      <c r="H8" s="186"/>
      <c r="I8" s="191"/>
      <c r="J8" s="186"/>
      <c r="K8" s="186"/>
      <c r="L8" s="186"/>
      <c r="M8" s="186"/>
      <c r="N8" s="186"/>
      <c r="O8" s="186"/>
      <c r="P8" s="126"/>
      <c r="Q8" s="126"/>
      <c r="R8" s="126"/>
      <c r="S8" s="126"/>
      <c r="T8" s="126"/>
      <c r="U8" s="129"/>
      <c r="V8" s="129"/>
      <c r="W8" s="129"/>
      <c r="X8" s="129"/>
      <c r="Y8" s="129"/>
      <c r="Z8" s="129"/>
      <c r="AA8" s="129"/>
      <c r="AB8" s="129"/>
      <c r="AC8" s="129"/>
      <c r="AD8" s="126"/>
      <c r="AE8" s="126"/>
      <c r="AF8" s="126"/>
      <c r="AG8" s="126"/>
      <c r="AH8" s="126"/>
      <c r="AI8" s="186"/>
      <c r="AJ8" s="186"/>
      <c r="AK8" s="186"/>
      <c r="AL8" s="23">
        <v>2</v>
      </c>
      <c r="AM8" s="23"/>
      <c r="AN8" s="23" t="e">
        <f>VLOOKUP(AM8,'Opciones Tratamiento'!$M$2:$O$37,3,FALSE)</f>
        <v>#N/A</v>
      </c>
      <c r="AO8" s="24" t="e">
        <f>VLOOKUP(AM8,'Opciones Tratamiento'!$M$2:$O$37,2,FALSE)</f>
        <v>#N/A</v>
      </c>
      <c r="AP8" s="131" t="s">
        <v>400</v>
      </c>
      <c r="AQ8" s="23" t="str">
        <f t="shared" si="0"/>
        <v>Probabilidad</v>
      </c>
      <c r="AR8" s="25" t="s">
        <v>161</v>
      </c>
      <c r="AS8" s="25" t="s">
        <v>169</v>
      </c>
      <c r="AT8" s="26" t="str">
        <f t="shared" si="1"/>
        <v>40%</v>
      </c>
      <c r="AU8" s="25" t="s">
        <v>172</v>
      </c>
      <c r="AV8" s="25" t="s">
        <v>177</v>
      </c>
      <c r="AW8" s="25" t="s">
        <v>181</v>
      </c>
      <c r="AX8" s="27">
        <f>IFERROR(IF(AND(AQ7="Probabilidad",AQ8="Probabilidad"),(AZ7-(+AZ7*AT8)),IF(AQ8="Probabilidad",(M7-(+M7*AT8)),IF(AQ8="Impacto",AZ7,""))),"")</f>
        <v>0.28799999999999998</v>
      </c>
      <c r="AY8" s="28" t="str">
        <f t="shared" si="2"/>
        <v>Baja</v>
      </c>
      <c r="AZ8" s="29">
        <f t="shared" si="3"/>
        <v>0.28799999999999998</v>
      </c>
      <c r="BA8" s="28" t="str">
        <f t="shared" ca="1" si="4"/>
        <v>Catastrófico</v>
      </c>
      <c r="BB8" s="29">
        <f ca="1">IFERROR(IF(AND(AQ7="Impacto",AQ8="Impacto"),(BB7-(+BB7*AT8)),IF(AQ8="Impacto",($AJ$7-(+$AJ$7*AT8)),IF(AQ8="Probabilidad",BB7,""))),"")</f>
        <v>1</v>
      </c>
      <c r="BC8" s="30" t="str">
        <f t="shared" ca="1" si="5"/>
        <v>Extremo</v>
      </c>
      <c r="BD8" s="31" t="s">
        <v>192</v>
      </c>
      <c r="BE8" s="32"/>
      <c r="BF8" s="23"/>
      <c r="BG8" s="33"/>
      <c r="BH8" s="33"/>
      <c r="BI8" s="32"/>
      <c r="BJ8" s="136"/>
      <c r="BK8" s="139"/>
      <c r="BL8" s="139"/>
      <c r="BM8" s="139"/>
      <c r="BN8" s="139"/>
      <c r="BO8" s="139"/>
      <c r="BP8" s="139"/>
      <c r="BQ8" s="139"/>
      <c r="BR8" s="139"/>
      <c r="BS8" s="139"/>
      <c r="BT8" s="139"/>
      <c r="BU8" s="139"/>
      <c r="BV8" s="139"/>
      <c r="BW8" s="139"/>
      <c r="BX8" s="139"/>
      <c r="BY8" s="139"/>
      <c r="BZ8" s="139"/>
      <c r="CA8" s="139"/>
      <c r="CB8" s="139"/>
      <c r="CC8" s="139"/>
      <c r="CD8" s="139"/>
    </row>
    <row r="9" spans="1:82" ht="67" customHeight="1" x14ac:dyDescent="0.15">
      <c r="A9" s="186"/>
      <c r="B9" s="191"/>
      <c r="C9" s="191"/>
      <c r="D9" s="191"/>
      <c r="E9" s="186"/>
      <c r="F9" s="191"/>
      <c r="G9" s="191"/>
      <c r="H9" s="186"/>
      <c r="I9" s="191"/>
      <c r="J9" s="186"/>
      <c r="K9" s="186"/>
      <c r="L9" s="186"/>
      <c r="M9" s="186"/>
      <c r="N9" s="186"/>
      <c r="O9" s="186"/>
      <c r="P9" s="126"/>
      <c r="Q9" s="126"/>
      <c r="R9" s="126"/>
      <c r="S9" s="126"/>
      <c r="T9" s="126"/>
      <c r="U9" s="129"/>
      <c r="V9" s="129"/>
      <c r="W9" s="129"/>
      <c r="X9" s="129"/>
      <c r="Y9" s="129"/>
      <c r="Z9" s="129"/>
      <c r="AA9" s="129"/>
      <c r="AB9" s="129"/>
      <c r="AC9" s="129"/>
      <c r="AD9" s="126"/>
      <c r="AE9" s="126"/>
      <c r="AF9" s="126"/>
      <c r="AG9" s="126"/>
      <c r="AH9" s="126"/>
      <c r="AI9" s="186"/>
      <c r="AJ9" s="186"/>
      <c r="AK9" s="186"/>
      <c r="AL9" s="23">
        <v>3</v>
      </c>
      <c r="AM9" s="23"/>
      <c r="AN9" s="23" t="e">
        <f>VLOOKUP(AM9,'Opciones Tratamiento'!$M$2:$O$37,3,FALSE)</f>
        <v>#N/A</v>
      </c>
      <c r="AO9" s="24" t="e">
        <f>VLOOKUP(AM9,'Opciones Tratamiento'!$M$2:$O$37,2,FALSE)</f>
        <v>#N/A</v>
      </c>
      <c r="AP9" s="131" t="s">
        <v>402</v>
      </c>
      <c r="AQ9" s="23" t="str">
        <f t="shared" si="0"/>
        <v>Probabilidad</v>
      </c>
      <c r="AR9" s="25" t="s">
        <v>161</v>
      </c>
      <c r="AS9" s="25" t="s">
        <v>169</v>
      </c>
      <c r="AT9" s="26" t="str">
        <f t="shared" si="1"/>
        <v>40%</v>
      </c>
      <c r="AU9" s="25" t="s">
        <v>172</v>
      </c>
      <c r="AV9" s="25" t="s">
        <v>177</v>
      </c>
      <c r="AW9" s="25" t="s">
        <v>181</v>
      </c>
      <c r="AX9" s="27">
        <f>IFERROR(IF(AND(AQ8="Probabilidad",AQ9="Probabilidad"),(AZ8-(+AZ8*AT9)),IF(AND(AQ8="Impacto",AQ9="Probabilidad"),(AZ7-(+AZ7*AT9)),IF(AQ9="Impacto",AZ8,""))),"")</f>
        <v>0.17279999999999998</v>
      </c>
      <c r="AY9" s="28" t="str">
        <f t="shared" si="2"/>
        <v>Muy Baja</v>
      </c>
      <c r="AZ9" s="29">
        <f t="shared" si="3"/>
        <v>0.17279999999999998</v>
      </c>
      <c r="BA9" s="28" t="str">
        <f t="shared" ca="1" si="4"/>
        <v>Catastrófico</v>
      </c>
      <c r="BB9" s="29">
        <f ca="1">IFERROR(IF(AND(AQ8="Impacto",AQ9="Impacto"),(BB8-(+BB8*AT9)),IF(AND(AQ8="Probabilidad",AQ9="Impacto"),(BB7-(+BB7*AT9)),IF(AQ9="Probabilidad",BB8,""))),"")</f>
        <v>1</v>
      </c>
      <c r="BC9" s="30" t="str">
        <f t="shared" ca="1" si="5"/>
        <v>Extremo</v>
      </c>
      <c r="BD9" s="31" t="s">
        <v>190</v>
      </c>
      <c r="BE9" s="32"/>
      <c r="BF9" s="23"/>
      <c r="BG9" s="33"/>
      <c r="BH9" s="33"/>
      <c r="BI9" s="32"/>
      <c r="BJ9" s="136"/>
      <c r="BK9" s="139"/>
      <c r="BL9" s="139"/>
      <c r="BM9" s="139"/>
      <c r="BN9" s="139"/>
      <c r="BO9" s="139"/>
      <c r="BP9" s="139"/>
      <c r="BQ9" s="139"/>
      <c r="BR9" s="139"/>
      <c r="BS9" s="139"/>
      <c r="BT9" s="139"/>
      <c r="BU9" s="139"/>
      <c r="BV9" s="139"/>
      <c r="BW9" s="139"/>
      <c r="BX9" s="139"/>
      <c r="BY9" s="139"/>
      <c r="BZ9" s="139"/>
      <c r="CA9" s="139"/>
      <c r="CB9" s="139"/>
      <c r="CC9" s="139"/>
      <c r="CD9" s="139"/>
    </row>
    <row r="10" spans="1:82" ht="67" customHeight="1" x14ac:dyDescent="0.15">
      <c r="A10" s="186"/>
      <c r="B10" s="191"/>
      <c r="C10" s="191"/>
      <c r="D10" s="191"/>
      <c r="E10" s="186"/>
      <c r="F10" s="191"/>
      <c r="G10" s="191"/>
      <c r="H10" s="186"/>
      <c r="I10" s="191"/>
      <c r="J10" s="186"/>
      <c r="K10" s="186"/>
      <c r="L10" s="186"/>
      <c r="M10" s="186"/>
      <c r="N10" s="186"/>
      <c r="O10" s="186"/>
      <c r="P10" s="126"/>
      <c r="Q10" s="126"/>
      <c r="R10" s="126"/>
      <c r="S10" s="126"/>
      <c r="T10" s="126"/>
      <c r="U10" s="129"/>
      <c r="V10" s="129"/>
      <c r="W10" s="129"/>
      <c r="X10" s="129"/>
      <c r="Y10" s="129"/>
      <c r="Z10" s="129"/>
      <c r="AA10" s="129"/>
      <c r="AB10" s="129"/>
      <c r="AC10" s="129"/>
      <c r="AD10" s="126"/>
      <c r="AE10" s="126"/>
      <c r="AF10" s="126"/>
      <c r="AG10" s="126"/>
      <c r="AH10" s="126"/>
      <c r="AI10" s="186"/>
      <c r="AJ10" s="186"/>
      <c r="AK10" s="186"/>
      <c r="AL10" s="23">
        <v>4</v>
      </c>
      <c r="AM10" s="23"/>
      <c r="AN10" s="23" t="e">
        <f>VLOOKUP(AM10,'Opciones Tratamiento'!$M$2:$O$37,3,FALSE)</f>
        <v>#N/A</v>
      </c>
      <c r="AO10" s="24" t="e">
        <f>VLOOKUP(AM10,'Opciones Tratamiento'!$M$2:$O$37,2,FALSE)</f>
        <v>#N/A</v>
      </c>
      <c r="AP10" s="131" t="s">
        <v>401</v>
      </c>
      <c r="AQ10" s="23" t="str">
        <f t="shared" si="0"/>
        <v>Impacto</v>
      </c>
      <c r="AR10" s="25" t="s">
        <v>165</v>
      </c>
      <c r="AS10" s="25" t="s">
        <v>169</v>
      </c>
      <c r="AT10" s="26" t="str">
        <f t="shared" si="1"/>
        <v>25%</v>
      </c>
      <c r="AU10" s="25" t="s">
        <v>172</v>
      </c>
      <c r="AV10" s="25" t="s">
        <v>177</v>
      </c>
      <c r="AW10" s="25" t="s">
        <v>181</v>
      </c>
      <c r="AX10" s="27">
        <f>IFERROR(IF(AND(AQ9="Probabilidad",AQ10="Probabilidad"),(AZ9-(+AZ9*AT10)),IF(AND(AQ9="Impacto",AQ10="Probabilidad"),(AZ8-(+AZ8*AT10)),IF(AQ10="Impacto",AZ9,""))),"")</f>
        <v>0.17279999999999998</v>
      </c>
      <c r="AY10" s="28" t="str">
        <f t="shared" si="2"/>
        <v>Muy Baja</v>
      </c>
      <c r="AZ10" s="29">
        <f t="shared" si="3"/>
        <v>0.17279999999999998</v>
      </c>
      <c r="BA10" s="28" t="str">
        <f t="shared" ca="1" si="4"/>
        <v>Mayor</v>
      </c>
      <c r="BB10" s="29">
        <f ca="1">IFERROR(IF(AND(AQ9="Impacto",AQ10="Impacto"),(BB9-(+BB9*AT10)),IF(AND(AQ9="Probabilidad",AQ10="Impacto"),(BB8-(+BB8*AT10)),IF(AQ10="Probabilidad",BB9,""))),"")</f>
        <v>0.75</v>
      </c>
      <c r="BC10" s="30" t="str">
        <f t="shared" ca="1" si="5"/>
        <v>Alto</v>
      </c>
      <c r="BD10" s="31" t="s">
        <v>190</v>
      </c>
      <c r="BE10" s="32"/>
      <c r="BF10" s="23"/>
      <c r="BG10" s="33"/>
      <c r="BH10" s="33"/>
      <c r="BI10" s="32"/>
      <c r="BJ10" s="136"/>
      <c r="BK10" s="139"/>
      <c r="BL10" s="139"/>
      <c r="BM10" s="139"/>
      <c r="BN10" s="139"/>
      <c r="BO10" s="139"/>
      <c r="BP10" s="139"/>
      <c r="BQ10" s="139"/>
      <c r="BR10" s="139"/>
      <c r="BS10" s="139"/>
      <c r="BT10" s="139"/>
      <c r="BU10" s="139"/>
      <c r="BV10" s="139"/>
      <c r="BW10" s="139"/>
      <c r="BX10" s="139"/>
      <c r="BY10" s="139"/>
      <c r="BZ10" s="139"/>
      <c r="CA10" s="139"/>
      <c r="CB10" s="139"/>
      <c r="CC10" s="139"/>
      <c r="CD10" s="139"/>
    </row>
    <row r="11" spans="1:82" ht="67" customHeight="1" x14ac:dyDescent="0.15">
      <c r="A11" s="186"/>
      <c r="B11" s="191"/>
      <c r="C11" s="191"/>
      <c r="D11" s="191"/>
      <c r="E11" s="186"/>
      <c r="F11" s="191"/>
      <c r="G11" s="191"/>
      <c r="H11" s="186"/>
      <c r="I11" s="191"/>
      <c r="J11" s="186"/>
      <c r="K11" s="186"/>
      <c r="L11" s="186"/>
      <c r="M11" s="186"/>
      <c r="N11" s="186"/>
      <c r="O11" s="186"/>
      <c r="P11" s="126"/>
      <c r="Q11" s="126"/>
      <c r="R11" s="126"/>
      <c r="S11" s="126"/>
      <c r="T11" s="126"/>
      <c r="U11" s="129"/>
      <c r="V11" s="129"/>
      <c r="W11" s="129"/>
      <c r="X11" s="129"/>
      <c r="Y11" s="129"/>
      <c r="Z11" s="129"/>
      <c r="AA11" s="129"/>
      <c r="AB11" s="129"/>
      <c r="AC11" s="129"/>
      <c r="AD11" s="126"/>
      <c r="AE11" s="126"/>
      <c r="AF11" s="126"/>
      <c r="AG11" s="126"/>
      <c r="AH11" s="126"/>
      <c r="AI11" s="186"/>
      <c r="AJ11" s="186"/>
      <c r="AK11" s="186"/>
      <c r="AL11" s="23">
        <v>5</v>
      </c>
      <c r="AM11" s="23"/>
      <c r="AN11" s="23" t="e">
        <f>VLOOKUP(AM11,'Opciones Tratamiento'!$M$2:$O$37,3,FALSE)</f>
        <v>#N/A</v>
      </c>
      <c r="AO11" s="24" t="e">
        <f>VLOOKUP(AM11,'Opciones Tratamiento'!$M$2:$O$37,2,FALSE)</f>
        <v>#N/A</v>
      </c>
      <c r="AP11" s="24" t="s">
        <v>403</v>
      </c>
      <c r="AQ11" s="23" t="str">
        <f t="shared" si="0"/>
        <v>Impacto</v>
      </c>
      <c r="AR11" s="25" t="s">
        <v>165</v>
      </c>
      <c r="AS11" s="25" t="s">
        <v>169</v>
      </c>
      <c r="AT11" s="26" t="str">
        <f t="shared" si="1"/>
        <v>25%</v>
      </c>
      <c r="AU11" s="25" t="s">
        <v>172</v>
      </c>
      <c r="AV11" s="25" t="s">
        <v>177</v>
      </c>
      <c r="AW11" s="25" t="s">
        <v>181</v>
      </c>
      <c r="AX11" s="27">
        <f>IFERROR(IF(AND(AQ10="Probabilidad",AQ11="Probabilidad"),(AZ10-(+AZ10*AT11)),IF(AND(AQ10="Impacto",AQ11="Probabilidad"),(AZ9-(+AZ9*AT11)),IF(AQ11="Impacto",AZ10,""))),"")</f>
        <v>0.17279999999999998</v>
      </c>
      <c r="AY11" s="28" t="str">
        <f t="shared" si="2"/>
        <v>Muy Baja</v>
      </c>
      <c r="AZ11" s="29">
        <f t="shared" si="3"/>
        <v>0.17279999999999998</v>
      </c>
      <c r="BA11" s="28" t="str">
        <f t="shared" ca="1" si="4"/>
        <v>Moderado</v>
      </c>
      <c r="BB11" s="29">
        <f ca="1">IFERROR(IF(AND(AQ10="Impacto",AQ11="Impacto"),(BB10-(+BB10*AT11)),IF(AND(AQ10="Probabilidad",AQ11="Impacto"),(BB9-(+BB9*AT11)),IF(AQ11="Probabilidad",BB10,""))),"")</f>
        <v>0.5625</v>
      </c>
      <c r="BC11" s="30" t="str">
        <f t="shared" ca="1" si="5"/>
        <v>Moderado</v>
      </c>
      <c r="BD11" s="31" t="s">
        <v>186</v>
      </c>
      <c r="BE11" s="32"/>
      <c r="BF11" s="23"/>
      <c r="BG11" s="33"/>
      <c r="BH11" s="33"/>
      <c r="BI11" s="32"/>
      <c r="BJ11" s="136"/>
      <c r="BK11" s="139"/>
      <c r="BL11" s="139"/>
      <c r="BM11" s="139"/>
      <c r="BN11" s="139"/>
      <c r="BO11" s="139"/>
      <c r="BP11" s="139"/>
      <c r="BQ11" s="139"/>
      <c r="BR11" s="139"/>
      <c r="BS11" s="139"/>
      <c r="BT11" s="139"/>
      <c r="BU11" s="139"/>
      <c r="BV11" s="139"/>
      <c r="BW11" s="139"/>
      <c r="BX11" s="139"/>
      <c r="BY11" s="139"/>
      <c r="BZ11" s="139"/>
      <c r="CA11" s="139"/>
      <c r="CB11" s="139"/>
      <c r="CC11" s="139"/>
      <c r="CD11" s="139"/>
    </row>
    <row r="12" spans="1:82" ht="54" customHeight="1" x14ac:dyDescent="0.15">
      <c r="A12" s="185">
        <v>2</v>
      </c>
      <c r="B12" s="190" t="s">
        <v>396</v>
      </c>
      <c r="C12" s="190" t="s">
        <v>393</v>
      </c>
      <c r="D12" s="190" t="s">
        <v>391</v>
      </c>
      <c r="E12" s="192"/>
      <c r="F12" s="190" t="s">
        <v>404</v>
      </c>
      <c r="G12" s="190" t="s">
        <v>405</v>
      </c>
      <c r="H12" s="192" t="str">
        <f>_xlfn.CONCAT("Posibilidad de efecto dañoso ",IF(C12='Opciones Tratamiento'!$E$2,"económica",IF(C12='Opciones Tratamiento'!$E$4,"económica y reputacional",LOWER(C12)))," por ",LOWER(F12), ", debido a ",LOWER(G12))</f>
        <v>Posibilidad de efecto dañoso sobre recursos públicos por sobrecostos en precios contractuales, debido a debilidades en los estudios de mercado</v>
      </c>
      <c r="I12" s="190" t="s">
        <v>395</v>
      </c>
      <c r="J12" s="185" t="s">
        <v>224</v>
      </c>
      <c r="K12" s="185" t="s">
        <v>233</v>
      </c>
      <c r="L12" s="187" t="str">
        <f>IF(OR(K12='Opciones Tratamiento'!$K$14,K12='Opciones Tratamiento'!$K$15,K12='Opciones Tratamiento'!$K$16),"Muy Baja",IF(OR(K12='Opciones Tratamiento'!$K$10,K12='Opciones Tratamiento'!$K$11,K12='Opciones Tratamiento'!$K$12,K12='Opciones Tratamiento'!$K$13),"Baja",IF(OR(K12='Opciones Tratamiento'!$K$4,K12='Opciones Tratamiento'!$K$5,K12='Opciones Tratamiento'!$K$6,K12='Opciones Tratamiento'!$K$7,K12='Opciones Tratamiento'!$K$8,K12='Opciones Tratamiento'!$K$9),"Media",IF(K12='Opciones Tratamiento'!$K$3,"Alta",IF(OR(K12='Opciones Tratamiento'!$K$2,K12='Opciones Tratamiento'!$K$17),"Muy Alta")))))</f>
        <v>Alta</v>
      </c>
      <c r="M12" s="188">
        <f>IF(L12="","",IF(L12="Muy Baja",0.2,IF(L12="Baja",0.4,IF(L12="Media",0.6,IF(L12="Alta",0.8,IF(L12="Muy Alta",1,))))))</f>
        <v>0.8</v>
      </c>
      <c r="N12" s="188" t="s">
        <v>142</v>
      </c>
      <c r="O12" s="188" t="str">
        <f ca="1">IF(NOT(ISERROR(MATCH(N12,'Tabla Impacto'!$B$221:$B$223,0))),'Tabla Impacto'!$F$223&amp;"Por favor no seleccionar los criterios de impacto(Afectación Económica o presupuestal y Pérdida Reputacional)",N12)</f>
        <v xml:space="preserve">     Entre 10 y 50 SMLMV </v>
      </c>
      <c r="P12" s="126"/>
      <c r="Q12" s="126"/>
      <c r="R12" s="126"/>
      <c r="S12" s="126"/>
      <c r="T12" s="126"/>
      <c r="U12" s="126"/>
      <c r="V12" s="126"/>
      <c r="W12" s="126"/>
      <c r="X12" s="126"/>
      <c r="Y12" s="126"/>
      <c r="Z12" s="126"/>
      <c r="AA12" s="126"/>
      <c r="AB12" s="126"/>
      <c r="AC12" s="126"/>
      <c r="AD12" s="126"/>
      <c r="AE12" s="126"/>
      <c r="AF12" s="126"/>
      <c r="AG12" s="126"/>
      <c r="AH12" s="126"/>
      <c r="AI12" s="187" t="str">
        <f ca="1">IF(OR(D12='Opciones Tratamiento'!$H$2,D12='Opciones Tratamiento'!$H$4),IF(OR(O12='Tabla Impacto'!$C$11,O12='Tabla Impacto'!$D$11),"Leve",IF(OR(O12='Tabla Impacto'!$C$12,O12='Tabla Impacto'!$D$12),"Menor",IF(OR(O12='Tabla Impacto'!$C$13,O12='Tabla Impacto'!$D$13),"Moderado",IF(OR(O12='Tabla Impacto'!$C$14,O12='Tabla Impacto'!$D$14),"Mayor",IF(OR(O12='Tabla Impacto'!$C$15,O12='Tabla Impacto'!$D$15),"Catastrófico",""))))),IF(D12='Opciones Tratamiento'!$H$3,IF(COUNTIF('Mapa final'!P12:AH12,"Si")&lt;=5,"Moderado",IF(AND(COUNTIF('Mapa final'!P12:AH12,"Si")&gt;5,COUNTIF('Mapa final'!P12:AH12,"Si")&lt;=10),"Mayor",IF(COUNTIF('Mapa final'!P12:AH12,"Si")&gt;10,"Catastrófico","")))))</f>
        <v>Menor</v>
      </c>
      <c r="AJ12" s="188">
        <f ca="1">IF(AI12="","",IF(AI12="Leve",0.2,IF(AI12="Menor",0.4,IF(AI12="Moderado",0.6,IF(AI12="Mayor",0.8,IF(AI12="Catastrófico",1,))))))</f>
        <v>0.4</v>
      </c>
      <c r="AK12" s="189" t="str">
        <f ca="1">IF(OR(AND(L12="Muy Baja",AI12="Leve"),AND(L12="Muy Baja",AI12="Menor"),AND(L12="Baja",AI12="Leve")),"Bajo",IF(OR(AND(L12="Muy baja",AI12="Moderado"),AND(L12="Baja",AI12="Menor"),AND(L12="Baja",AI12="Moderado"),AND(L12="Media",AI12="Leve"),AND(L12="Media",AI12="Menor"),AND(L12="Media",AI12="Moderado"),AND(L12="Alta",AI12="Leve"),AND(L12="Alta",AI12="Menor")),"Moderado",IF(OR(AND(L12="Muy Baja",AI12="Mayor"),AND(L12="Baja",AI12="Mayor"),AND(L12="Media",AI12="Mayor"),AND(L12="Alta",AI12="Moderado"),AND(L12="Alta",AI12="Mayor"),AND(L12="Muy Alta",AI12="Leve"),AND(L12="Muy Alta",AI12="Menor"),AND(L12="Muy Alta",AI12="Moderado"),AND(L12="Muy Alta",AI12="Mayor")),"Alto",IF(OR(AND(L12="Muy Baja",AI12="Catastrófico"),AND(L12="Baja",AI12="Catastrófico"),AND(L12="Media",AI12="Catastrófico"),AND(L12="Alta",AI12="Catastrófico"),AND(L12="Muy Alta",AI12="Catastrófico")),"Extremo",""))))</f>
        <v>Moderado</v>
      </c>
      <c r="AL12" s="23">
        <v>1</v>
      </c>
      <c r="AM12" s="23"/>
      <c r="AN12" s="23" t="e">
        <f>VLOOKUP(AM12,'Opciones Tratamiento'!$M$2:$O$37,3,FALSE)</f>
        <v>#N/A</v>
      </c>
      <c r="AO12" s="24" t="e">
        <f>VLOOKUP(AM12,'Opciones Tratamiento'!$M$2:$O$37,2,FALSE)</f>
        <v>#N/A</v>
      </c>
      <c r="AP12" s="131" t="s">
        <v>406</v>
      </c>
      <c r="AQ12" s="23" t="str">
        <f t="shared" ref="AQ12:AQ13" si="6">IF(OR(AR12="Preventivo",AR12="Detectivo"),"Probabilidad",IF(AR12="Correctivo","Impacto",""))</f>
        <v>Probabilidad</v>
      </c>
      <c r="AR12" s="25" t="s">
        <v>161</v>
      </c>
      <c r="AS12" s="25" t="s">
        <v>169</v>
      </c>
      <c r="AT12" s="26" t="str">
        <f t="shared" ref="AT12:AT13" si="7">IF(AND(AR12="Preventivo",AS12="Automático"),"50%",IF(AND(AR12="Preventivo",AS12="Manual"),"40%",IF(AND(AR12="Detectivo",AS12="Automático"),"40%",IF(AND(AR12="Detectivo",AS12="Manual"),"30%",IF(AND(AR12="Correctivo",AS12="Automático"),"35%",IF(AND(AR12="Correctivo",AS12="Manual"),"25%",""))))))</f>
        <v>40%</v>
      </c>
      <c r="AU12" s="25" t="s">
        <v>172</v>
      </c>
      <c r="AV12" s="25" t="s">
        <v>177</v>
      </c>
      <c r="AW12" s="25" t="s">
        <v>181</v>
      </c>
      <c r="AX12" s="27">
        <f>IFERROR(IF(AQ12="Probabilidad",(M12-(+M12*AT12)),IF(AQ12="Impacto",M12,"")),"")</f>
        <v>0.48</v>
      </c>
      <c r="AY12" s="28" t="str">
        <f t="shared" ref="AY12:AY13" si="8">IFERROR(IF(AX12="","",IF(AX12&lt;=0.2,"Muy Baja",IF(AX12&lt;=0.4,"Baja",IF(AX12&lt;=0.6,"Media",IF(AX12&lt;=0.8,"Alta","Muy Alta"))))),"")</f>
        <v>Media</v>
      </c>
      <c r="AZ12" s="29">
        <f t="shared" ref="AZ12:AZ13" si="9">+AX12</f>
        <v>0.48</v>
      </c>
      <c r="BA12" s="28" t="str">
        <f t="shared" ref="BA12:BA13" ca="1" si="10">IFERROR(IF(BB12="","",IF(BB12&lt;=0.2,"Leve",IF(BB12&lt;=0.4,"Menor",IF(BB12&lt;=0.6,"Moderado",IF(BB12&lt;=0.8,"Mayor","Catastrófico"))))),"")</f>
        <v>Menor</v>
      </c>
      <c r="BB12" s="29">
        <f ca="1">IFERROR(IF(AQ12="Impacto",(AJ12-(+AJ12*AT12)),IF(AQ12="Probabilidad",AJ12,"")),"")</f>
        <v>0.4</v>
      </c>
      <c r="BC12" s="30" t="str">
        <f t="shared" ref="BC12:BC13" ca="1" si="11">IFERROR(IF(OR(AND(AY12="Muy Baja",BA12="Leve"),AND(AY12="Muy Baja",BA12="Menor"),AND(AY12="Baja",BA12="Leve")),"Bajo",IF(OR(AND(AY12="Muy baja",BA12="Moderado"),AND(AY12="Baja",BA12="Menor"),AND(AY12="Baja",BA12="Moderado"),AND(AY12="Media",BA12="Leve"),AND(AY12="Media",BA12="Menor"),AND(AY12="Media",BA12="Moderado"),AND(AY12="Alta",BA12="Leve"),AND(AY12="Alta",BA12="Menor")),"Moderado",IF(OR(AND(AY12="Muy Baja",BA12="Mayor"),AND(AY12="Baja",BA12="Mayor"),AND(AY12="Media",BA12="Mayor"),AND(AY12="Alta",BA12="Moderado"),AND(AY12="Alta",BA12="Mayor"),AND(AY12="Muy Alta",BA12="Leve"),AND(AY12="Muy Alta",BA12="Menor"),AND(AY12="Muy Alta",BA12="Moderado"),AND(AY12="Muy Alta",BA12="Mayor")),"Alto",IF(OR(AND(AY12="Muy Baja",BA12="Catastrófico"),AND(AY12="Baja",BA12="Catastrófico"),AND(AY12="Media",BA12="Catastrófico"),AND(AY12="Alta",BA12="Catastrófico"),AND(AY12="Muy Alta",BA12="Catastrófico")),"Extremo","")))),"")</f>
        <v>Moderado</v>
      </c>
      <c r="BD12" s="31" t="s">
        <v>192</v>
      </c>
      <c r="BE12" s="32"/>
      <c r="BF12" s="23"/>
      <c r="BG12" s="33"/>
      <c r="BH12" s="33"/>
      <c r="BI12" s="32"/>
      <c r="BJ12" s="136"/>
      <c r="BK12" s="143"/>
      <c r="BL12" s="143"/>
      <c r="BM12" s="143"/>
      <c r="BN12" s="143"/>
      <c r="BO12" s="143"/>
      <c r="BP12" s="143"/>
      <c r="BQ12" s="143"/>
      <c r="BR12" s="143"/>
      <c r="BS12" s="143"/>
      <c r="BT12" s="143"/>
      <c r="BU12" s="143"/>
      <c r="BV12" s="143"/>
      <c r="BW12" s="143"/>
      <c r="BX12" s="143"/>
      <c r="BY12" s="143"/>
      <c r="BZ12" s="143"/>
      <c r="CA12" s="143"/>
      <c r="CB12" s="143"/>
      <c r="CC12" s="143"/>
      <c r="CD12" s="143"/>
    </row>
    <row r="13" spans="1:82" ht="52" customHeight="1" x14ac:dyDescent="0.15">
      <c r="A13" s="186"/>
      <c r="B13" s="191"/>
      <c r="C13" s="191"/>
      <c r="D13" s="191"/>
      <c r="E13" s="186"/>
      <c r="F13" s="191"/>
      <c r="G13" s="191"/>
      <c r="H13" s="186"/>
      <c r="I13" s="191"/>
      <c r="J13" s="186"/>
      <c r="K13" s="186"/>
      <c r="L13" s="186"/>
      <c r="M13" s="186"/>
      <c r="N13" s="186"/>
      <c r="O13" s="186"/>
      <c r="P13" s="126"/>
      <c r="Q13" s="126"/>
      <c r="R13" s="126"/>
      <c r="S13" s="126"/>
      <c r="T13" s="126"/>
      <c r="U13" s="129"/>
      <c r="V13" s="129"/>
      <c r="W13" s="129"/>
      <c r="X13" s="129"/>
      <c r="Y13" s="129"/>
      <c r="Z13" s="129"/>
      <c r="AA13" s="129"/>
      <c r="AB13" s="129"/>
      <c r="AC13" s="129"/>
      <c r="AD13" s="126"/>
      <c r="AE13" s="126"/>
      <c r="AF13" s="126"/>
      <c r="AG13" s="126"/>
      <c r="AH13" s="126"/>
      <c r="AI13" s="186"/>
      <c r="AJ13" s="186"/>
      <c r="AK13" s="186"/>
      <c r="AL13" s="23">
        <v>2</v>
      </c>
      <c r="AM13" s="23"/>
      <c r="AN13" s="23" t="e">
        <f>VLOOKUP(AM13,'Opciones Tratamiento'!$M$2:$O$37,3,FALSE)</f>
        <v>#N/A</v>
      </c>
      <c r="AO13" s="24" t="e">
        <f>VLOOKUP(AM13,'Opciones Tratamiento'!$M$2:$O$37,2,FALSE)</f>
        <v>#N/A</v>
      </c>
      <c r="AP13" s="131" t="s">
        <v>407</v>
      </c>
      <c r="AQ13" s="23" t="str">
        <f t="shared" si="6"/>
        <v>Probabilidad</v>
      </c>
      <c r="AR13" s="25" t="s">
        <v>161</v>
      </c>
      <c r="AS13" s="25" t="s">
        <v>169</v>
      </c>
      <c r="AT13" s="26" t="str">
        <f t="shared" si="7"/>
        <v>40%</v>
      </c>
      <c r="AU13" s="25" t="s">
        <v>172</v>
      </c>
      <c r="AV13" s="25" t="s">
        <v>177</v>
      </c>
      <c r="AW13" s="25" t="s">
        <v>181</v>
      </c>
      <c r="AX13" s="27">
        <f>IFERROR(IF(AND(AQ12="Probabilidad",AQ13="Probabilidad"),(AZ12-(+AZ12*AT13)),IF(AQ13="Probabilidad",(M12-(+M12*AT13)),IF(AQ13="Impacto",AZ12,""))),"")</f>
        <v>0.28799999999999998</v>
      </c>
      <c r="AY13" s="28" t="str">
        <f t="shared" si="8"/>
        <v>Baja</v>
      </c>
      <c r="AZ13" s="29">
        <f t="shared" si="9"/>
        <v>0.28799999999999998</v>
      </c>
      <c r="BA13" s="28" t="str">
        <f t="shared" ca="1" si="10"/>
        <v>Menor</v>
      </c>
      <c r="BB13" s="29">
        <f ca="1">IFERROR(IF(AND(AQ12="Impacto",AQ13="Impacto"),(BB12-(+BB12*AT13)),IF(AQ13="Impacto",($AJ$7-(+$AJ$7*AT13)),IF(AQ13="Probabilidad",BB12,""))),"")</f>
        <v>0.4</v>
      </c>
      <c r="BC13" s="30" t="str">
        <f t="shared" ca="1" si="11"/>
        <v>Moderado</v>
      </c>
      <c r="BD13" s="31" t="s">
        <v>186</v>
      </c>
      <c r="BE13" s="32"/>
      <c r="BF13" s="23"/>
      <c r="BG13" s="33"/>
      <c r="BH13" s="33"/>
      <c r="BI13" s="32"/>
      <c r="BJ13" s="136"/>
      <c r="BK13" s="143"/>
      <c r="BL13" s="143"/>
      <c r="BM13" s="143"/>
      <c r="BN13" s="143"/>
      <c r="BO13" s="143"/>
      <c r="BP13" s="143"/>
      <c r="BQ13" s="143"/>
      <c r="BR13" s="143"/>
      <c r="BS13" s="143"/>
      <c r="BT13" s="143"/>
      <c r="BU13" s="143"/>
      <c r="BV13" s="143"/>
      <c r="BW13" s="143"/>
      <c r="BX13" s="143"/>
      <c r="BY13" s="143"/>
      <c r="BZ13" s="143"/>
      <c r="CA13" s="143"/>
      <c r="CB13" s="143"/>
      <c r="CC13" s="143"/>
      <c r="CD13" s="143"/>
    </row>
    <row r="14" spans="1:82" ht="54" customHeight="1" x14ac:dyDescent="0.15">
      <c r="A14" s="146">
        <v>3</v>
      </c>
      <c r="B14" s="147" t="s">
        <v>408</v>
      </c>
      <c r="C14" s="147" t="s">
        <v>393</v>
      </c>
      <c r="D14" s="147" t="s">
        <v>391</v>
      </c>
      <c r="E14" s="148"/>
      <c r="F14" s="147" t="s">
        <v>409</v>
      </c>
      <c r="G14" s="147" t="s">
        <v>410</v>
      </c>
      <c r="H14" s="148" t="str">
        <f>_xlfn.CONCAT("Posibilidad de efecto dañoso ",IF(C14='Opciones Tratamiento'!$E$2,"económica",IF(C14='Opciones Tratamiento'!$E$4,"económica y reputacional",LOWER(C14)))," por ",LOWER(F14), ", debido a ",LOWER(G14))</f>
        <v>Posibilidad de efecto dañoso sobre recursos públicos por pago de multas, cláusulas penales o cualquier tipo de sanción, debido a pago inoportuno de impuestos o reporte de información exogena</v>
      </c>
      <c r="I14" s="147" t="s">
        <v>395</v>
      </c>
      <c r="J14" s="146" t="s">
        <v>224</v>
      </c>
      <c r="K14" s="146" t="s">
        <v>242</v>
      </c>
      <c r="L14" s="144"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Baja</v>
      </c>
      <c r="M14" s="126">
        <f>IF(L14="","",IF(L14="Muy Baja",0.2,IF(L14="Baja",0.4,IF(L14="Media",0.6,IF(L14="Alta",0.8,IF(L14="Muy Alta",1,))))))</f>
        <v>0.4</v>
      </c>
      <c r="N14" s="126" t="s">
        <v>139</v>
      </c>
      <c r="O14" s="126" t="str">
        <f ca="1">IF(NOT(ISERROR(MATCH(N14,'Tabla Impacto'!$B$221:$B$223,0))),'Tabla Impacto'!$F$223&amp;"Por favor no seleccionar los criterios de impacto(Afectación Económica o presupuestal y Pérdida Reputacional)",N14)</f>
        <v xml:space="preserve">     Afectación menor a 10 SMLMV .</v>
      </c>
      <c r="P14" s="126"/>
      <c r="Q14" s="126"/>
      <c r="R14" s="126"/>
      <c r="S14" s="126"/>
      <c r="T14" s="126"/>
      <c r="U14" s="126"/>
      <c r="V14" s="126"/>
      <c r="W14" s="126"/>
      <c r="X14" s="126"/>
      <c r="Y14" s="126"/>
      <c r="Z14" s="126"/>
      <c r="AA14" s="126"/>
      <c r="AB14" s="126"/>
      <c r="AC14" s="126"/>
      <c r="AD14" s="126"/>
      <c r="AE14" s="126"/>
      <c r="AF14" s="126"/>
      <c r="AG14" s="126"/>
      <c r="AH14" s="126"/>
      <c r="AI14" s="144" t="str">
        <f ca="1">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Leve</v>
      </c>
      <c r="AJ14" s="126">
        <f ca="1">IF(AI14="","",IF(AI14="Leve",0.2,IF(AI14="Menor",0.4,IF(AI14="Moderado",0.6,IF(AI14="Mayor",0.8,IF(AI14="Catastrófico",1,))))))</f>
        <v>0.2</v>
      </c>
      <c r="AK14" s="145" t="str">
        <f ca="1">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Bajo</v>
      </c>
      <c r="AL14" s="23">
        <v>1</v>
      </c>
      <c r="AM14" s="23"/>
      <c r="AN14" s="23" t="e">
        <f>VLOOKUP(AM14,'Opciones Tratamiento'!$M$2:$O$37,3,FALSE)</f>
        <v>#N/A</v>
      </c>
      <c r="AO14" s="24" t="e">
        <f>VLOOKUP(AM14,'Opciones Tratamiento'!$M$2:$O$37,2,FALSE)</f>
        <v>#N/A</v>
      </c>
      <c r="AP14" s="131" t="s">
        <v>411</v>
      </c>
      <c r="AQ14" s="23" t="str">
        <f t="shared" ref="AQ14" si="12">IF(OR(AR14="Preventivo",AR14="Detectivo"),"Probabilidad",IF(AR14="Correctivo","Impacto",""))</f>
        <v>Probabilidad</v>
      </c>
      <c r="AR14" s="25" t="s">
        <v>161</v>
      </c>
      <c r="AS14" s="25" t="s">
        <v>169</v>
      </c>
      <c r="AT14" s="26" t="str">
        <f t="shared" ref="AT14" si="13">IF(AND(AR14="Preventivo",AS14="Automático"),"50%",IF(AND(AR14="Preventivo",AS14="Manual"),"40%",IF(AND(AR14="Detectivo",AS14="Automático"),"40%",IF(AND(AR14="Detectivo",AS14="Manual"),"30%",IF(AND(AR14="Correctivo",AS14="Automático"),"35%",IF(AND(AR14="Correctivo",AS14="Manual"),"25%",""))))))</f>
        <v>40%</v>
      </c>
      <c r="AU14" s="25" t="s">
        <v>172</v>
      </c>
      <c r="AV14" s="25" t="s">
        <v>177</v>
      </c>
      <c r="AW14" s="25" t="s">
        <v>181</v>
      </c>
      <c r="AX14" s="27">
        <f>IFERROR(IF(AQ14="Probabilidad",(M14-(+M14*AT14)),IF(AQ14="Impacto",M14,"")),"")</f>
        <v>0.24</v>
      </c>
      <c r="AY14" s="28" t="str">
        <f t="shared" ref="AY14" si="14">IFERROR(IF(AX14="","",IF(AX14&lt;=0.2,"Muy Baja",IF(AX14&lt;=0.4,"Baja",IF(AX14&lt;=0.6,"Media",IF(AX14&lt;=0.8,"Alta","Muy Alta"))))),"")</f>
        <v>Baja</v>
      </c>
      <c r="AZ14" s="29">
        <f t="shared" ref="AZ14" si="15">+AX14</f>
        <v>0.24</v>
      </c>
      <c r="BA14" s="28" t="str">
        <f t="shared" ref="BA14" ca="1" si="16">IFERROR(IF(BB14="","",IF(BB14&lt;=0.2,"Leve",IF(BB14&lt;=0.4,"Menor",IF(BB14&lt;=0.6,"Moderado",IF(BB14&lt;=0.8,"Mayor","Catastrófico"))))),"")</f>
        <v>Leve</v>
      </c>
      <c r="BB14" s="29">
        <f ca="1">IFERROR(IF(AQ14="Impacto",(AJ14-(+AJ14*AT14)),IF(AQ14="Probabilidad",AJ14,"")),"")</f>
        <v>0.2</v>
      </c>
      <c r="BC14" s="30" t="str">
        <f t="shared" ref="BC14" ca="1" si="17">IFERROR(IF(OR(AND(AY14="Muy Baja",BA14="Leve"),AND(AY14="Muy Baja",BA14="Menor"),AND(AY14="Baja",BA14="Leve")),"Bajo",IF(OR(AND(AY14="Muy baja",BA14="Moderado"),AND(AY14="Baja",BA14="Menor"),AND(AY14="Baja",BA14="Moderado"),AND(AY14="Media",BA14="Leve"),AND(AY14="Media",BA14="Menor"),AND(AY14="Media",BA14="Moderado"),AND(AY14="Alta",BA14="Leve"),AND(AY14="Alta",BA14="Menor")),"Moderado",IF(OR(AND(AY14="Muy Baja",BA14="Mayor"),AND(AY14="Baja",BA14="Mayor"),AND(AY14="Media",BA14="Mayor"),AND(AY14="Alta",BA14="Moderado"),AND(AY14="Alta",BA14="Mayor"),AND(AY14="Muy Alta",BA14="Leve"),AND(AY14="Muy Alta",BA14="Menor"),AND(AY14="Muy Alta",BA14="Moderado"),AND(AY14="Muy Alta",BA14="Mayor")),"Alto",IF(OR(AND(AY14="Muy Baja",BA14="Catastrófico"),AND(AY14="Baja",BA14="Catastrófico"),AND(AY14="Media",BA14="Catastrófico"),AND(AY14="Alta",BA14="Catastrófico"),AND(AY14="Muy Alta",BA14="Catastrófico")),"Extremo","")))),"")</f>
        <v>Bajo</v>
      </c>
      <c r="BD14" s="31" t="s">
        <v>192</v>
      </c>
      <c r="BE14" s="32"/>
      <c r="BF14" s="23"/>
      <c r="BG14" s="33"/>
      <c r="BH14" s="33"/>
      <c r="BI14" s="32"/>
      <c r="BJ14" s="136"/>
      <c r="BK14" s="143"/>
      <c r="BL14" s="143"/>
      <c r="BM14" s="143"/>
      <c r="BN14" s="143"/>
      <c r="BO14" s="143"/>
      <c r="BP14" s="143"/>
      <c r="BQ14" s="143"/>
      <c r="BR14" s="143"/>
      <c r="BS14" s="143"/>
      <c r="BT14" s="143"/>
      <c r="BU14" s="143"/>
      <c r="BV14" s="143"/>
      <c r="BW14" s="143"/>
      <c r="BX14" s="143"/>
      <c r="BY14" s="143"/>
      <c r="BZ14" s="143"/>
      <c r="CA14" s="143"/>
      <c r="CB14" s="143"/>
      <c r="CC14" s="143"/>
      <c r="CD14" s="143"/>
    </row>
    <row r="15" spans="1:82" ht="79" customHeight="1" x14ac:dyDescent="0.15">
      <c r="A15" s="146">
        <v>4</v>
      </c>
      <c r="B15" s="147" t="s">
        <v>408</v>
      </c>
      <c r="C15" s="147" t="s">
        <v>393</v>
      </c>
      <c r="D15" s="147" t="s">
        <v>391</v>
      </c>
      <c r="E15" s="148"/>
      <c r="F15" s="147" t="s">
        <v>412</v>
      </c>
      <c r="G15" s="147" t="s">
        <v>413</v>
      </c>
      <c r="H15" s="148" t="str">
        <f>_xlfn.CONCAT("Posibilidad de efecto dañoso ",IF(C15='Opciones Tratamiento'!$E$2,"económica",IF(C15='Opciones Tratamiento'!$E$4,"económica y reputacional",LOWER(C15)))," por ",LOWER(F15), ", debido a ",LOWER(G15))</f>
        <v>Posibilidad de efecto dañoso sobre recursos públicos por inadecuada deducción de impuestos al contratista, debido a errores en la causación de la obligación presupuestal</v>
      </c>
      <c r="I15" s="147" t="s">
        <v>395</v>
      </c>
      <c r="J15" s="146" t="s">
        <v>224</v>
      </c>
      <c r="K15" s="146" t="s">
        <v>235</v>
      </c>
      <c r="L15" s="144" t="str">
        <f>IF(OR(K15='Opciones Tratamiento'!$K$14,K15='Opciones Tratamiento'!$K$15,K15='Opciones Tratamiento'!$K$16),"Muy Baja",IF(OR(K15='Opciones Tratamiento'!$K$10,K15='Opciones Tratamiento'!$K$11,K15='Opciones Tratamiento'!$K$12,K15='Opciones Tratamiento'!$K$13),"Baja",IF(OR(K15='Opciones Tratamiento'!$K$4,K15='Opciones Tratamiento'!$K$5,K15='Opciones Tratamiento'!$K$6,K15='Opciones Tratamiento'!$K$7,K15='Opciones Tratamiento'!$K$8,K15='Opciones Tratamiento'!$K$9),"Media",IF(K15='Opciones Tratamiento'!$K$3,"Alta",IF(OR(K15='Opciones Tratamiento'!$K$2,K15='Opciones Tratamiento'!$K$17),"Muy Alta")))))</f>
        <v>Media</v>
      </c>
      <c r="M15" s="126">
        <f>IF(L15="","",IF(L15="Muy Baja",0.2,IF(L15="Baja",0.4,IF(L15="Media",0.6,IF(L15="Alta",0.8,IF(L15="Muy Alta",1,))))))</f>
        <v>0.6</v>
      </c>
      <c r="N15" s="126" t="s">
        <v>139</v>
      </c>
      <c r="O15" s="126" t="str">
        <f ca="1">IF(NOT(ISERROR(MATCH(N15,'Tabla Impacto'!$B$221:$B$223,0))),'Tabla Impacto'!$F$223&amp;"Por favor no seleccionar los criterios de impacto(Afectación Económica o presupuestal y Pérdida Reputacional)",N15)</f>
        <v xml:space="preserve">     Afectación menor a 10 SMLMV .</v>
      </c>
      <c r="P15" s="126"/>
      <c r="Q15" s="126"/>
      <c r="R15" s="126"/>
      <c r="S15" s="126"/>
      <c r="T15" s="126"/>
      <c r="U15" s="126"/>
      <c r="V15" s="126"/>
      <c r="W15" s="126"/>
      <c r="X15" s="126"/>
      <c r="Y15" s="126"/>
      <c r="Z15" s="126"/>
      <c r="AA15" s="126"/>
      <c r="AB15" s="126"/>
      <c r="AC15" s="126"/>
      <c r="AD15" s="126"/>
      <c r="AE15" s="126"/>
      <c r="AF15" s="126"/>
      <c r="AG15" s="126"/>
      <c r="AH15" s="126"/>
      <c r="AI15" s="144" t="str">
        <f ca="1">IF(OR(D15='Opciones Tratamiento'!$H$2,D15='Opciones Tratamiento'!$H$4),IF(OR(O15='Tabla Impacto'!$C$11,O15='Tabla Impacto'!$D$11),"Leve",IF(OR(O15='Tabla Impacto'!$C$12,O15='Tabla Impacto'!$D$12),"Menor",IF(OR(O15='Tabla Impacto'!$C$13,O15='Tabla Impacto'!$D$13),"Moderado",IF(OR(O15='Tabla Impacto'!$C$14,O15='Tabla Impacto'!$D$14),"Mayor",IF(OR(O15='Tabla Impacto'!$C$15,O15='Tabla Impacto'!$D$15),"Catastrófico",""))))),IF(D15='Opciones Tratamiento'!$H$3,IF(COUNTIF('Mapa final'!P15:AH15,"Si")&lt;=5,"Moderado",IF(AND(COUNTIF('Mapa final'!P15:AH15,"Si")&gt;5,COUNTIF('Mapa final'!P15:AH15,"Si")&lt;=10),"Mayor",IF(COUNTIF('Mapa final'!P15:AH15,"Si")&gt;10,"Catastrófico","")))))</f>
        <v>Leve</v>
      </c>
      <c r="AJ15" s="126">
        <f ca="1">IF(AI15="","",IF(AI15="Leve",0.2,IF(AI15="Menor",0.4,IF(AI15="Moderado",0.6,IF(AI15="Mayor",0.8,IF(AI15="Catastrófico",1,))))))</f>
        <v>0.2</v>
      </c>
      <c r="AK15" s="145" t="str">
        <f ca="1">IF(OR(AND(L15="Muy Baja",AI15="Leve"),AND(L15="Muy Baja",AI15="Menor"),AND(L15="Baja",AI15="Leve")),"Bajo",IF(OR(AND(L15="Muy baja",AI15="Moderado"),AND(L15="Baja",AI15="Menor"),AND(L15="Baja",AI15="Moderado"),AND(L15="Media",AI15="Leve"),AND(L15="Media",AI15="Menor"),AND(L15="Media",AI15="Moderado"),AND(L15="Alta",AI15="Leve"),AND(L15="Alta",AI15="Menor")),"Moderado",IF(OR(AND(L15="Muy Baja",AI15="Mayor"),AND(L15="Baja",AI15="Mayor"),AND(L15="Media",AI15="Mayor"),AND(L15="Alta",AI15="Moderado"),AND(L15="Alta",AI15="Mayor"),AND(L15="Muy Alta",AI15="Leve"),AND(L15="Muy Alta",AI15="Menor"),AND(L15="Muy Alta",AI15="Moderado"),AND(L15="Muy Alta",AI15="Mayor")),"Alto",IF(OR(AND(L15="Muy Baja",AI15="Catastrófico"),AND(L15="Baja",AI15="Catastrófico"),AND(L15="Media",AI15="Catastrófico"),AND(L15="Alta",AI15="Catastrófico"),AND(L15="Muy Alta",AI15="Catastrófico")),"Extremo",""))))</f>
        <v>Moderado</v>
      </c>
      <c r="AL15" s="23">
        <v>1</v>
      </c>
      <c r="AM15" s="23"/>
      <c r="AN15" s="23" t="e">
        <f>VLOOKUP(AM15,'Opciones Tratamiento'!$M$2:$O$37,3,FALSE)</f>
        <v>#N/A</v>
      </c>
      <c r="AO15" s="24" t="e">
        <f>VLOOKUP(AM15,'Opciones Tratamiento'!$M$2:$O$37,2,FALSE)</f>
        <v>#N/A</v>
      </c>
      <c r="AP15" s="131" t="s">
        <v>414</v>
      </c>
      <c r="AQ15" s="23" t="str">
        <f t="shared" ref="AQ15:AQ28" si="18">IF(OR(AR15="Preventivo",AR15="Detectivo"),"Probabilidad",IF(AR15="Correctivo","Impacto",""))</f>
        <v>Probabilidad</v>
      </c>
      <c r="AR15" s="25" t="s">
        <v>161</v>
      </c>
      <c r="AS15" s="25" t="s">
        <v>169</v>
      </c>
      <c r="AT15" s="26" t="str">
        <f t="shared" ref="AT15:AT28" si="19">IF(AND(AR15="Preventivo",AS15="Automático"),"50%",IF(AND(AR15="Preventivo",AS15="Manual"),"40%",IF(AND(AR15="Detectivo",AS15="Automático"),"40%",IF(AND(AR15="Detectivo",AS15="Manual"),"30%",IF(AND(AR15="Correctivo",AS15="Automático"),"35%",IF(AND(AR15="Correctivo",AS15="Manual"),"25%",""))))))</f>
        <v>40%</v>
      </c>
      <c r="AU15" s="25" t="s">
        <v>172</v>
      </c>
      <c r="AV15" s="25" t="s">
        <v>177</v>
      </c>
      <c r="AW15" s="25" t="s">
        <v>181</v>
      </c>
      <c r="AX15" s="27">
        <f>IFERROR(IF(AQ15="Probabilidad",(M15-(+M15*AT15)),IF(AQ15="Impacto",M15,"")),"")</f>
        <v>0.36</v>
      </c>
      <c r="AY15" s="28" t="str">
        <f t="shared" ref="AY15:AY35" si="20">IFERROR(IF(AX15="","",IF(AX15&lt;=0.2,"Muy Baja",IF(AX15&lt;=0.4,"Baja",IF(AX15&lt;=0.6,"Media",IF(AX15&lt;=0.8,"Alta","Muy Alta"))))),"")</f>
        <v>Baja</v>
      </c>
      <c r="AZ15" s="29">
        <f t="shared" ref="AZ15:AZ35" si="21">+AX15</f>
        <v>0.36</v>
      </c>
      <c r="BA15" s="28" t="str">
        <f t="shared" ref="BA15:BA35" ca="1" si="22">IFERROR(IF(BB15="","",IF(BB15&lt;=0.2,"Leve",IF(BB15&lt;=0.4,"Menor",IF(BB15&lt;=0.6,"Moderado",IF(BB15&lt;=0.8,"Mayor","Catastrófico"))))),"")</f>
        <v>Leve</v>
      </c>
      <c r="BB15" s="29">
        <f ca="1">IFERROR(IF(AQ15="Impacto",(AJ15-(+AJ15*AT15)),IF(AQ15="Probabilidad",AJ15,"")),"")</f>
        <v>0.2</v>
      </c>
      <c r="BC15" s="30" t="str">
        <f t="shared" ref="BC15:BC35" ca="1" si="23">IFERROR(IF(OR(AND(AY15="Muy Baja",BA15="Leve"),AND(AY15="Muy Baja",BA15="Menor"),AND(AY15="Baja",BA15="Leve")),"Bajo",IF(OR(AND(AY15="Muy baja",BA15="Moderado"),AND(AY15="Baja",BA15="Menor"),AND(AY15="Baja",BA15="Moderado"),AND(AY15="Media",BA15="Leve"),AND(AY15="Media",BA15="Menor"),AND(AY15="Media",BA15="Moderado"),AND(AY15="Alta",BA15="Leve"),AND(AY15="Alta",BA15="Menor")),"Moderado",IF(OR(AND(AY15="Muy Baja",BA15="Mayor"),AND(AY15="Baja",BA15="Mayor"),AND(AY15="Media",BA15="Mayor"),AND(AY15="Alta",BA15="Moderado"),AND(AY15="Alta",BA15="Mayor"),AND(AY15="Muy Alta",BA15="Leve"),AND(AY15="Muy Alta",BA15="Menor"),AND(AY15="Muy Alta",BA15="Moderado"),AND(AY15="Muy Alta",BA15="Mayor")),"Alto",IF(OR(AND(AY15="Muy Baja",BA15="Catastrófico"),AND(AY15="Baja",BA15="Catastrófico"),AND(AY15="Media",BA15="Catastrófico"),AND(AY15="Alta",BA15="Catastrófico"),AND(AY15="Muy Alta",BA15="Catastrófico")),"Extremo","")))),"")</f>
        <v>Bajo</v>
      </c>
      <c r="BD15" s="31" t="s">
        <v>192</v>
      </c>
      <c r="BE15" s="32"/>
      <c r="BF15" s="23"/>
      <c r="BG15" s="33"/>
      <c r="BH15" s="33"/>
      <c r="BI15" s="32"/>
      <c r="BJ15" s="136"/>
      <c r="BK15" s="143"/>
      <c r="BL15" s="143"/>
      <c r="BM15" s="143"/>
      <c r="BN15" s="143"/>
      <c r="BO15" s="143"/>
      <c r="BP15" s="143"/>
      <c r="BQ15" s="143"/>
      <c r="BR15" s="143"/>
      <c r="BS15" s="143"/>
      <c r="BT15" s="143"/>
      <c r="BU15" s="143"/>
      <c r="BV15" s="143"/>
      <c r="BW15" s="143"/>
      <c r="BX15" s="143"/>
      <c r="BY15" s="143"/>
      <c r="BZ15" s="143"/>
      <c r="CA15" s="143"/>
      <c r="CB15" s="143"/>
      <c r="CC15" s="143"/>
      <c r="CD15" s="143"/>
    </row>
    <row r="16" spans="1:82" ht="47" customHeight="1" x14ac:dyDescent="0.15">
      <c r="A16" s="185">
        <v>5</v>
      </c>
      <c r="B16" s="190" t="s">
        <v>415</v>
      </c>
      <c r="C16" s="190" t="s">
        <v>392</v>
      </c>
      <c r="D16" s="190" t="s">
        <v>391</v>
      </c>
      <c r="E16" s="192"/>
      <c r="F16" s="190" t="s">
        <v>416</v>
      </c>
      <c r="G16" s="190" t="s">
        <v>417</v>
      </c>
      <c r="H16" s="192" t="str">
        <f>_xlfn.CONCAT("Posibilidad de efecto dañoso ",IF(C16='[1]Opciones Tratamiento'!$E$2,"económica",IF(C16='[1]Opciones Tratamiento'!$E$4,"económica y reputacional",LOWER(C16)))," por ",LOWER(F16), ", debido a ",LOWER(G16))</f>
        <v xml:space="preserve">Posibilidad de efecto dañoso sobre bien público por  pérdida, extravío, hurto, robo o declaratoria de bienes faltantes pertenecientes a la entidad, debido a debilidades en los controles de ingreso y salida de bienes </v>
      </c>
      <c r="I16" s="190" t="s">
        <v>395</v>
      </c>
      <c r="J16" s="185" t="s">
        <v>224</v>
      </c>
      <c r="K16" s="185" t="s">
        <v>251</v>
      </c>
      <c r="L16" s="187" t="str">
        <f>IF(OR(K16='[1]Opciones Tratamiento'!$K$14,K16='[1]Opciones Tratamiento'!$K$15,K16='[1]Opciones Tratamiento'!$K$16),"Muy Baja",IF(OR(K16='[1]Opciones Tratamiento'!$K$10,K16='[1]Opciones Tratamiento'!$K$11,K16='[1]Opciones Tratamiento'!$K$12,K16='[1]Opciones Tratamiento'!$K$13),"Baja",IF(OR(K16='[1]Opciones Tratamiento'!$K$4,K16='[1]Opciones Tratamiento'!$K$5,K16='[1]Opciones Tratamiento'!$K$6,K16='[1]Opciones Tratamiento'!$K$7,K16='[1]Opciones Tratamiento'!$K$8,K16='[1]Opciones Tratamiento'!$K$9),"Media",IF(K16='[1]Opciones Tratamiento'!$K$3,"Alta",IF(OR(K16='[1]Opciones Tratamiento'!$K$2,K16='[1]Opciones Tratamiento'!$K$17),"Muy Alta")))))</f>
        <v>Muy Alta</v>
      </c>
      <c r="M16" s="188">
        <f>IF(L16="","",IF(L16="Muy Baja",0.2,IF(L16="Baja",0.4,IF(L16="Media",0.6,IF(L16="Alta",0.8,IF(L16="Muy Alta",1,))))))</f>
        <v>1</v>
      </c>
      <c r="N16" s="188" t="s">
        <v>139</v>
      </c>
      <c r="O16" s="188" t="str">
        <f ca="1">IF(NOT(ISERROR(MATCH(N16,'[1]Tabla Impacto'!$B$221:$B$223,0))),'[1]Tabla Impacto'!$F$223&amp;"Por favor no seleccionar los criterios de impacto(Afectación Económica o presupuestal y Pérdida Reputacional)",N16)</f>
        <v xml:space="preserve">     Afectación menor a 10 SMLMV .</v>
      </c>
      <c r="P16" s="126"/>
      <c r="Q16" s="126"/>
      <c r="R16" s="126"/>
      <c r="S16" s="126"/>
      <c r="T16" s="126"/>
      <c r="U16" s="126"/>
      <c r="V16" s="126"/>
      <c r="W16" s="126"/>
      <c r="X16" s="126"/>
      <c r="Y16" s="126"/>
      <c r="Z16" s="126"/>
      <c r="AA16" s="126"/>
      <c r="AB16" s="126"/>
      <c r="AC16" s="126"/>
      <c r="AD16" s="126"/>
      <c r="AE16" s="126"/>
      <c r="AF16" s="126"/>
      <c r="AG16" s="126"/>
      <c r="AH16" s="126"/>
      <c r="AI16" s="187" t="str">
        <f ca="1">IF(OR(D16='[1]Opciones Tratamiento'!$H$2,D16='[1]Opciones Tratamiento'!$H$4),IF(OR(O16='[1]Tabla Impacto'!$C$11,O16='[1]Tabla Impacto'!$D$11),"Leve",IF(OR(O16='[1]Tabla Impacto'!$C$12,O16='[1]Tabla Impacto'!$D$12),"Menor",IF(OR(O16='[1]Tabla Impacto'!$C$13,O16='[1]Tabla Impacto'!$D$13),"Moderado",IF(OR(O16='[1]Tabla Impacto'!$C$14,O16='[1]Tabla Impacto'!$D$14),"Mayor",IF(OR(O16='[1]Tabla Impacto'!$C$15,O16='[1]Tabla Impacto'!$D$15),"Catastrófico",""))))),IF(D16='[1]Opciones Tratamiento'!$H$3,IF(COUNTIF('[1]Mapa final'!P16:AH16,"Si")&lt;=5,"Moderado",IF(AND(COUNTIF('[1]Mapa final'!P16:AH16,"Si")&gt;5,COUNTIF('[1]Mapa final'!P16:AH16,"Si")&lt;=10),"Mayor",IF(COUNTIF('[1]Mapa final'!P16:AH16,"Si")&gt;10,"Catastrófico","")))))</f>
        <v>Leve</v>
      </c>
      <c r="AJ16" s="188">
        <f ca="1">IF(AI16="","",IF(AI16="Leve",0.2,IF(AI16="Menor",0.4,IF(AI16="Moderado",0.6,IF(AI16="Mayor",0.8,IF(AI16="Catastrófico",1,))))))</f>
        <v>0.2</v>
      </c>
      <c r="AK16" s="189" t="str">
        <f ca="1">IF(OR(AND(L16="Muy Baja",AI16="Leve"),AND(L16="Muy Baja",AI16="Menor"),AND(L16="Baja",AI16="Leve")),"Bajo",IF(OR(AND(L16="Muy baja",AI16="Moderado"),AND(L16="Baja",AI16="Menor"),AND(L16="Baja",AI16="Moderado"),AND(L16="Media",AI16="Leve"),AND(L16="Media",AI16="Menor"),AND(L16="Media",AI16="Moderado"),AND(L16="Alta",AI16="Leve"),AND(L16="Alta",AI16="Menor")),"Moderado",IF(OR(AND(L16="Muy Baja",AI16="Mayor"),AND(L16="Baja",AI16="Mayor"),AND(L16="Media",AI16="Mayor"),AND(L16="Alta",AI16="Moderado"),AND(L16="Alta",AI16="Mayor"),AND(L16="Muy Alta",AI16="Leve"),AND(L16="Muy Alta",AI16="Menor"),AND(L16="Muy Alta",AI16="Moderado"),AND(L16="Muy Alta",AI16="Mayor")),"Alto",IF(OR(AND(L16="Muy Baja",AI16="Catastrófico"),AND(L16="Baja",AI16="Catastrófico"),AND(L16="Media",AI16="Catastrófico"),AND(L16="Alta",AI16="Catastrófico"),AND(L16="Muy Alta",AI16="Catastrófico")),"Extremo",""))))</f>
        <v>Alto</v>
      </c>
      <c r="AL16" s="23">
        <v>1</v>
      </c>
      <c r="AM16" s="23"/>
      <c r="AN16" s="23" t="e">
        <f>VLOOKUP(AM16,'[1]Opciones Tratamiento'!$M$2:$O$37,3,FALSE)</f>
        <v>#N/A</v>
      </c>
      <c r="AO16" s="24" t="e">
        <f>VLOOKUP(AM16,'[1]Opciones Tratamiento'!$M$2:$O$37,2,FALSE)</f>
        <v>#N/A</v>
      </c>
      <c r="AP16" s="131" t="s">
        <v>418</v>
      </c>
      <c r="AQ16" s="23" t="str">
        <f t="shared" si="18"/>
        <v>Probabilidad</v>
      </c>
      <c r="AR16" s="25" t="s">
        <v>161</v>
      </c>
      <c r="AS16" s="25" t="s">
        <v>169</v>
      </c>
      <c r="AT16" s="26" t="str">
        <f t="shared" si="19"/>
        <v>40%</v>
      </c>
      <c r="AU16" s="25" t="s">
        <v>172</v>
      </c>
      <c r="AV16" s="25" t="s">
        <v>177</v>
      </c>
      <c r="AW16" s="25" t="s">
        <v>181</v>
      </c>
      <c r="AX16" s="27">
        <f>IFERROR(IF(AQ16="Probabilidad",(M16-(+M16*AT16)),IF(AQ16="Impacto",M16,"")),"")</f>
        <v>0.6</v>
      </c>
      <c r="AY16" s="28" t="str">
        <f t="shared" si="20"/>
        <v>Media</v>
      </c>
      <c r="AZ16" s="29">
        <f t="shared" si="21"/>
        <v>0.6</v>
      </c>
      <c r="BA16" s="28" t="str">
        <f t="shared" ca="1" si="22"/>
        <v>Leve</v>
      </c>
      <c r="BB16" s="29">
        <f ca="1">IFERROR(IF(AQ16="Impacto",(AJ16-(+AJ16*AT16)),IF(AQ16="Probabilidad",AJ16,"")),"")</f>
        <v>0.2</v>
      </c>
      <c r="BC16" s="30" t="str">
        <f t="shared" ca="1" si="23"/>
        <v>Moderado</v>
      </c>
      <c r="BD16" s="31" t="s">
        <v>192</v>
      </c>
      <c r="BE16" s="32"/>
      <c r="BF16" s="23"/>
      <c r="BG16" s="33"/>
      <c r="BH16" s="33"/>
      <c r="BI16" s="32"/>
      <c r="BJ16" s="136"/>
      <c r="BK16" s="142"/>
      <c r="BL16" s="142"/>
      <c r="BM16" s="142"/>
      <c r="BN16" s="142"/>
      <c r="BO16" s="142"/>
      <c r="BP16" s="142"/>
      <c r="BQ16" s="142"/>
      <c r="BR16" s="142"/>
      <c r="BS16" s="142"/>
      <c r="BT16" s="142"/>
      <c r="BU16" s="142"/>
      <c r="BV16" s="142"/>
      <c r="BW16" s="142"/>
      <c r="BX16" s="142"/>
      <c r="BY16" s="142"/>
      <c r="BZ16" s="142"/>
      <c r="CA16" s="142"/>
      <c r="CB16" s="142"/>
      <c r="CC16" s="142"/>
      <c r="CD16" s="142"/>
    </row>
    <row r="17" spans="1:82" ht="47" customHeight="1" x14ac:dyDescent="0.15">
      <c r="A17" s="186"/>
      <c r="B17" s="191"/>
      <c r="C17" s="191"/>
      <c r="D17" s="191"/>
      <c r="E17" s="186"/>
      <c r="F17" s="191"/>
      <c r="G17" s="191"/>
      <c r="H17" s="186"/>
      <c r="I17" s="191"/>
      <c r="J17" s="186"/>
      <c r="K17" s="186"/>
      <c r="L17" s="186"/>
      <c r="M17" s="186"/>
      <c r="N17" s="186"/>
      <c r="O17" s="186"/>
      <c r="P17" s="126"/>
      <c r="Q17" s="126"/>
      <c r="R17" s="126"/>
      <c r="S17" s="126"/>
      <c r="T17" s="126"/>
      <c r="U17" s="126"/>
      <c r="V17" s="126"/>
      <c r="W17" s="126"/>
      <c r="X17" s="126"/>
      <c r="Y17" s="126"/>
      <c r="Z17" s="126"/>
      <c r="AA17" s="126"/>
      <c r="AB17" s="126"/>
      <c r="AC17" s="126"/>
      <c r="AD17" s="126"/>
      <c r="AE17" s="126"/>
      <c r="AF17" s="126"/>
      <c r="AG17" s="126"/>
      <c r="AH17" s="126"/>
      <c r="AI17" s="186"/>
      <c r="AJ17" s="186"/>
      <c r="AK17" s="186"/>
      <c r="AL17" s="23">
        <v>2</v>
      </c>
      <c r="AM17" s="23"/>
      <c r="AN17" s="23" t="e">
        <f>VLOOKUP(AM17,'[1]Opciones Tratamiento'!$M$2:$O$37,3,FALSE)</f>
        <v>#N/A</v>
      </c>
      <c r="AO17" s="24" t="e">
        <f>VLOOKUP(AM17,'[1]Opciones Tratamiento'!$M$2:$O$37,2,FALSE)</f>
        <v>#N/A</v>
      </c>
      <c r="AP17" s="131" t="s">
        <v>419</v>
      </c>
      <c r="AQ17" s="23" t="str">
        <f t="shared" si="18"/>
        <v>Probabilidad</v>
      </c>
      <c r="AR17" s="25" t="s">
        <v>163</v>
      </c>
      <c r="AS17" s="25" t="s">
        <v>169</v>
      </c>
      <c r="AT17" s="26" t="str">
        <f t="shared" si="19"/>
        <v>30%</v>
      </c>
      <c r="AU17" s="25" t="s">
        <v>172</v>
      </c>
      <c r="AV17" s="25" t="s">
        <v>177</v>
      </c>
      <c r="AW17" s="25" t="s">
        <v>181</v>
      </c>
      <c r="AX17" s="27">
        <f>IFERROR(IF(AND(AQ16="Probabilidad",AQ17="Probabilidad"),(AZ16-(+AZ16*AT17)),IF(AQ17="Probabilidad",(M16-(+M16*AT17)),IF(AQ17="Impacto",AZ16,""))),"")</f>
        <v>0.42</v>
      </c>
      <c r="AY17" s="28" t="str">
        <f t="shared" si="20"/>
        <v>Media</v>
      </c>
      <c r="AZ17" s="29">
        <f t="shared" si="21"/>
        <v>0.42</v>
      </c>
      <c r="BA17" s="28" t="str">
        <f t="shared" ca="1" si="22"/>
        <v>Leve</v>
      </c>
      <c r="BB17" s="29">
        <f ca="1">IFERROR(IF(AND(AQ16="Impacto",AQ17="Impacto"),(BB16-(+BB16*AT17)),IF(AQ17="Impacto",($AJ$7-(+$AJ$7*AT17)),IF(AQ17="Probabilidad",BB16,""))),"")</f>
        <v>0.2</v>
      </c>
      <c r="BC17" s="30" t="str">
        <f t="shared" ca="1" si="23"/>
        <v>Moderado</v>
      </c>
      <c r="BD17" s="31" t="s">
        <v>192</v>
      </c>
      <c r="BE17" s="32"/>
      <c r="BF17" s="23"/>
      <c r="BG17" s="33"/>
      <c r="BH17" s="33"/>
      <c r="BI17" s="32"/>
      <c r="BJ17" s="136"/>
      <c r="BK17" s="139"/>
      <c r="BL17" s="139"/>
      <c r="BM17" s="139"/>
      <c r="BN17" s="139"/>
      <c r="BO17" s="139"/>
      <c r="BP17" s="139"/>
      <c r="BQ17" s="139"/>
      <c r="BR17" s="139"/>
      <c r="BS17" s="139"/>
      <c r="BT17" s="139"/>
      <c r="BU17" s="139"/>
      <c r="BV17" s="139"/>
      <c r="BW17" s="139"/>
      <c r="BX17" s="139"/>
      <c r="BY17" s="139"/>
      <c r="BZ17" s="139"/>
      <c r="CA17" s="139"/>
      <c r="CB17" s="139"/>
      <c r="CC17" s="139"/>
      <c r="CD17" s="139"/>
    </row>
    <row r="18" spans="1:82" ht="47" customHeight="1" x14ac:dyDescent="0.15">
      <c r="A18" s="186"/>
      <c r="B18" s="191"/>
      <c r="C18" s="191"/>
      <c r="D18" s="191"/>
      <c r="E18" s="186"/>
      <c r="F18" s="191"/>
      <c r="G18" s="191"/>
      <c r="H18" s="186"/>
      <c r="I18" s="191"/>
      <c r="J18" s="186"/>
      <c r="K18" s="186"/>
      <c r="L18" s="186"/>
      <c r="M18" s="186"/>
      <c r="N18" s="186"/>
      <c r="O18" s="186"/>
      <c r="P18" s="126"/>
      <c r="Q18" s="126"/>
      <c r="R18" s="126"/>
      <c r="S18" s="126"/>
      <c r="T18" s="126"/>
      <c r="U18" s="126"/>
      <c r="V18" s="126"/>
      <c r="W18" s="126"/>
      <c r="X18" s="126"/>
      <c r="Y18" s="126"/>
      <c r="Z18" s="126"/>
      <c r="AA18" s="126"/>
      <c r="AB18" s="126"/>
      <c r="AC18" s="126"/>
      <c r="AD18" s="126"/>
      <c r="AE18" s="126"/>
      <c r="AF18" s="126"/>
      <c r="AG18" s="126"/>
      <c r="AH18" s="126"/>
      <c r="AI18" s="186"/>
      <c r="AJ18" s="186"/>
      <c r="AK18" s="186"/>
      <c r="AL18" s="23">
        <v>3</v>
      </c>
      <c r="AM18" s="23"/>
      <c r="AN18" s="23" t="e">
        <f>VLOOKUP(AM18,'[1]Opciones Tratamiento'!$M$2:$O$37,3,FALSE)</f>
        <v>#N/A</v>
      </c>
      <c r="AO18" s="24" t="e">
        <f>VLOOKUP(AM18,'[1]Opciones Tratamiento'!$M$2:$O$37,2,FALSE)</f>
        <v>#N/A</v>
      </c>
      <c r="AP18" s="131" t="s">
        <v>420</v>
      </c>
      <c r="AQ18" s="23" t="str">
        <f t="shared" si="18"/>
        <v>Impacto</v>
      </c>
      <c r="AR18" s="25" t="s">
        <v>165</v>
      </c>
      <c r="AS18" s="25" t="s">
        <v>169</v>
      </c>
      <c r="AT18" s="26" t="str">
        <f t="shared" si="19"/>
        <v>25%</v>
      </c>
      <c r="AU18" s="25" t="s">
        <v>172</v>
      </c>
      <c r="AV18" s="25" t="s">
        <v>177</v>
      </c>
      <c r="AW18" s="25" t="s">
        <v>181</v>
      </c>
      <c r="AX18" s="27">
        <f>IFERROR(IF(AND(AQ17="Probabilidad",AQ18="Probabilidad"),(AZ17-(+AZ17*AT18)),IF(AND(AQ17="Impacto",AQ18="Probabilidad"),(AZ16-(+AZ16*AT18)),IF(AQ18="Impacto",AZ17,""))),"")</f>
        <v>0.42</v>
      </c>
      <c r="AY18" s="28" t="str">
        <f t="shared" si="20"/>
        <v>Media</v>
      </c>
      <c r="AZ18" s="29">
        <f t="shared" si="21"/>
        <v>0.42</v>
      </c>
      <c r="BA18" s="28" t="str">
        <f t="shared" ca="1" si="22"/>
        <v>Leve</v>
      </c>
      <c r="BB18" s="29">
        <f ca="1">IFERROR(IF(AND(AQ17="Impacto",AQ18="Impacto"),(BB17-(+BB17*AT18)),IF(AND(AQ17="Probabilidad",AQ18="Impacto"),(BB16-(+BB16*AT18)),IF(AQ18="Probabilidad",BB17,""))),"")</f>
        <v>0.15000000000000002</v>
      </c>
      <c r="BC18" s="30" t="str">
        <f t="shared" ca="1" si="23"/>
        <v>Moderado</v>
      </c>
      <c r="BD18" s="31" t="s">
        <v>186</v>
      </c>
      <c r="BE18" s="32"/>
      <c r="BF18" s="23"/>
      <c r="BG18" s="33"/>
      <c r="BH18" s="33"/>
      <c r="BI18" s="32"/>
      <c r="BJ18" s="136"/>
      <c r="BK18" s="139"/>
      <c r="BL18" s="139"/>
      <c r="BM18" s="139"/>
      <c r="BN18" s="139"/>
      <c r="BO18" s="139"/>
      <c r="BP18" s="139"/>
      <c r="BQ18" s="139"/>
      <c r="BR18" s="139"/>
      <c r="BS18" s="139"/>
      <c r="BT18" s="139"/>
      <c r="BU18" s="139"/>
      <c r="BV18" s="139"/>
      <c r="BW18" s="139"/>
      <c r="BX18" s="139"/>
      <c r="BY18" s="139"/>
      <c r="BZ18" s="139"/>
      <c r="CA18" s="139"/>
      <c r="CB18" s="139"/>
      <c r="CC18" s="139"/>
      <c r="CD18" s="139"/>
    </row>
    <row r="19" spans="1:82" ht="47" customHeight="1" x14ac:dyDescent="0.15">
      <c r="A19" s="185">
        <v>6</v>
      </c>
      <c r="B19" s="190" t="s">
        <v>415</v>
      </c>
      <c r="C19" s="190" t="s">
        <v>392</v>
      </c>
      <c r="D19" s="190" t="s">
        <v>391</v>
      </c>
      <c r="E19" s="192"/>
      <c r="F19" s="190" t="s">
        <v>421</v>
      </c>
      <c r="G19" s="190" t="s">
        <v>422</v>
      </c>
      <c r="H19" s="192" t="str">
        <f>_xlfn.CONCAT("Posibilidad de efecto dañoso ",IF(C19='[1]Opciones Tratamiento'!$E$2,"económica",IF(C19='[1]Opciones Tratamiento'!$E$4,"económica y reputacional",LOWER(C19)))," por ",LOWER(F19), ", debido a ",LOWER(G19))</f>
        <v>Posibilidad de efecto dañoso sobre bien público por daño en bienes muebles de propiedad de la entidad, debido a no asegurar buenas prácticas de almacenamiento`
baja cultura de cuidado de los bienes</v>
      </c>
      <c r="I19" s="190" t="s">
        <v>395</v>
      </c>
      <c r="J19" s="185" t="s">
        <v>225</v>
      </c>
      <c r="K19" s="185" t="s">
        <v>251</v>
      </c>
      <c r="L19" s="187" t="str">
        <f>IF(OR(K19='[1]Opciones Tratamiento'!$K$14,K19='[1]Opciones Tratamiento'!$K$15,K19='[1]Opciones Tratamiento'!$K$16),"Muy Baja",IF(OR(K19='[1]Opciones Tratamiento'!$K$10,K19='[1]Opciones Tratamiento'!$K$11,K19='[1]Opciones Tratamiento'!$K$12,K19='[1]Opciones Tratamiento'!$K$13),"Baja",IF(OR(K19='[1]Opciones Tratamiento'!$K$4,K19='[1]Opciones Tratamiento'!$K$5,K19='[1]Opciones Tratamiento'!$K$6,K19='[1]Opciones Tratamiento'!$K$7,K19='[1]Opciones Tratamiento'!$K$8,K19='[1]Opciones Tratamiento'!$K$9),"Media",IF(K19='[1]Opciones Tratamiento'!$K$3,"Alta",IF(OR(K19='[1]Opciones Tratamiento'!$K$2,K19='[1]Opciones Tratamiento'!$K$17),"Muy Alta")))))</f>
        <v>Muy Alta</v>
      </c>
      <c r="M19" s="188">
        <f>IF(L19="","",IF(L19="Muy Baja",0.2,IF(L19="Baja",0.4,IF(L19="Media",0.6,IF(L19="Alta",0.8,IF(L19="Muy Alta",1,))))))</f>
        <v>1</v>
      </c>
      <c r="N19" s="188" t="s">
        <v>139</v>
      </c>
      <c r="O19" s="188" t="str">
        <f ca="1">IF(NOT(ISERROR(MATCH(N19,'[1]Tabla Impacto'!$B$221:$B$223,0))),'[1]Tabla Impacto'!$F$223&amp;"Por favor no seleccionar los criterios de impacto(Afectación Económica o presupuestal y Pérdida Reputacional)",N19)</f>
        <v xml:space="preserve">     Afectación menor a 10 SMLMV .</v>
      </c>
      <c r="P19" s="126"/>
      <c r="Q19" s="126"/>
      <c r="R19" s="126"/>
      <c r="S19" s="126"/>
      <c r="T19" s="126"/>
      <c r="U19" s="126"/>
      <c r="V19" s="126"/>
      <c r="W19" s="126"/>
      <c r="X19" s="126"/>
      <c r="Y19" s="126"/>
      <c r="Z19" s="126"/>
      <c r="AA19" s="126"/>
      <c r="AB19" s="126"/>
      <c r="AC19" s="126"/>
      <c r="AD19" s="126"/>
      <c r="AE19" s="126"/>
      <c r="AF19" s="126"/>
      <c r="AG19" s="126"/>
      <c r="AH19" s="126"/>
      <c r="AI19" s="187" t="str">
        <f ca="1">IF(OR(D19='[1]Opciones Tratamiento'!$H$2,D19='[1]Opciones Tratamiento'!$H$4),IF(OR(O19='[1]Tabla Impacto'!$C$11,O19='[1]Tabla Impacto'!$D$11),"Leve",IF(OR(O19='[1]Tabla Impacto'!$C$12,O19='[1]Tabla Impacto'!$D$12),"Menor",IF(OR(O19='[1]Tabla Impacto'!$C$13,O19='[1]Tabla Impacto'!$D$13),"Moderado",IF(OR(O19='[1]Tabla Impacto'!$C$14,O19='[1]Tabla Impacto'!$D$14),"Mayor",IF(OR(O19='[1]Tabla Impacto'!$C$15,O19='[1]Tabla Impacto'!$D$15),"Catastrófico",""))))),IF(D19='[1]Opciones Tratamiento'!$H$3,IF(COUNTIF('[1]Mapa final'!P19:AH19,"Si")&lt;=5,"Moderado",IF(AND(COUNTIF('[1]Mapa final'!P19:AH19,"Si")&gt;5,COUNTIF('[1]Mapa final'!P19:AH19,"Si")&lt;=10),"Mayor",IF(COUNTIF('[1]Mapa final'!P19:AH19,"Si")&gt;10,"Catastrófico","")))))</f>
        <v>Leve</v>
      </c>
      <c r="AJ19" s="188">
        <f ca="1">IF(AI19="","",IF(AI19="Leve",0.2,IF(AI19="Menor",0.4,IF(AI19="Moderado",0.6,IF(AI19="Mayor",0.8,IF(AI19="Catastrófico",1,))))))</f>
        <v>0.2</v>
      </c>
      <c r="AK19" s="189" t="str">
        <f ca="1">IF(OR(AND(L19="Muy Baja",AI19="Leve"),AND(L19="Muy Baja",AI19="Menor"),AND(L19="Baja",AI19="Leve")),"Bajo",IF(OR(AND(L19="Muy baja",AI19="Moderado"),AND(L19="Baja",AI19="Menor"),AND(L19="Baja",AI19="Moderado"),AND(L19="Media",AI19="Leve"),AND(L19="Media",AI19="Menor"),AND(L19="Media",AI19="Moderado"),AND(L19="Alta",AI19="Leve"),AND(L19="Alta",AI19="Menor")),"Moderado",IF(OR(AND(L19="Muy Baja",AI19="Mayor"),AND(L19="Baja",AI19="Mayor"),AND(L19="Media",AI19="Mayor"),AND(L19="Alta",AI19="Moderado"),AND(L19="Alta",AI19="Mayor"),AND(L19="Muy Alta",AI19="Leve"),AND(L19="Muy Alta",AI19="Menor"),AND(L19="Muy Alta",AI19="Moderado"),AND(L19="Muy Alta",AI19="Mayor")),"Alto",IF(OR(AND(L19="Muy Baja",AI19="Catastrófico"),AND(L19="Baja",AI19="Catastrófico"),AND(L19="Media",AI19="Catastrófico"),AND(L19="Alta",AI19="Catastrófico"),AND(L19="Muy Alta",AI19="Catastrófico")),"Extremo",""))))</f>
        <v>Alto</v>
      </c>
      <c r="AL19" s="23">
        <v>1</v>
      </c>
      <c r="AM19" s="23"/>
      <c r="AN19" s="23" t="e">
        <f>VLOOKUP(AM19,'[1]Opciones Tratamiento'!$M$2:$O$37,3,FALSE)</f>
        <v>#N/A</v>
      </c>
      <c r="AO19" s="24" t="e">
        <f>VLOOKUP(AM19,'[1]Opciones Tratamiento'!$M$2:$O$37,2,FALSE)</f>
        <v>#N/A</v>
      </c>
      <c r="AP19" s="131" t="s">
        <v>423</v>
      </c>
      <c r="AQ19" s="23" t="str">
        <f t="shared" si="18"/>
        <v>Probabilidad</v>
      </c>
      <c r="AR19" s="25" t="s">
        <v>161</v>
      </c>
      <c r="AS19" s="25" t="s">
        <v>169</v>
      </c>
      <c r="AT19" s="26" t="str">
        <f t="shared" si="19"/>
        <v>40%</v>
      </c>
      <c r="AU19" s="25" t="s">
        <v>172</v>
      </c>
      <c r="AV19" s="25" t="s">
        <v>177</v>
      </c>
      <c r="AW19" s="25" t="s">
        <v>181</v>
      </c>
      <c r="AX19" s="27">
        <f>IFERROR(IF(AQ19="Probabilidad",(M19-(+M19*AT19)),IF(AQ19="Impacto",M19,"")),"")</f>
        <v>0.6</v>
      </c>
      <c r="AY19" s="28" t="str">
        <f t="shared" si="20"/>
        <v>Media</v>
      </c>
      <c r="AZ19" s="29">
        <f t="shared" si="21"/>
        <v>0.6</v>
      </c>
      <c r="BA19" s="28" t="str">
        <f t="shared" ca="1" si="22"/>
        <v>Leve</v>
      </c>
      <c r="BB19" s="29">
        <f ca="1">IFERROR(IF(AQ19="Impacto",(AJ19-(+AJ19*AT19)),IF(AQ19="Probabilidad",AJ19,"")),"")</f>
        <v>0.2</v>
      </c>
      <c r="BC19" s="30" t="str">
        <f t="shared" ca="1" si="23"/>
        <v>Moderado</v>
      </c>
      <c r="BD19" s="31" t="s">
        <v>192</v>
      </c>
      <c r="BE19" s="32"/>
      <c r="BF19" s="23"/>
      <c r="BG19" s="33"/>
      <c r="BH19" s="33"/>
      <c r="BI19" s="32"/>
      <c r="BJ19" s="136"/>
      <c r="BK19" s="143"/>
      <c r="BL19" s="143"/>
      <c r="BM19" s="143"/>
      <c r="BN19" s="143"/>
      <c r="BO19" s="143"/>
      <c r="BP19" s="143"/>
      <c r="BQ19" s="143"/>
      <c r="BR19" s="143"/>
      <c r="BS19" s="143"/>
      <c r="BT19" s="143"/>
      <c r="BU19" s="143"/>
      <c r="BV19" s="143"/>
      <c r="BW19" s="143"/>
      <c r="BX19" s="143"/>
      <c r="BY19" s="143"/>
      <c r="BZ19" s="143"/>
      <c r="CA19" s="143"/>
      <c r="CB19" s="143"/>
      <c r="CC19" s="143"/>
      <c r="CD19" s="143"/>
    </row>
    <row r="20" spans="1:82" ht="47" customHeight="1" x14ac:dyDescent="0.15">
      <c r="A20" s="186"/>
      <c r="B20" s="191"/>
      <c r="C20" s="191"/>
      <c r="D20" s="191"/>
      <c r="E20" s="186"/>
      <c r="F20" s="191"/>
      <c r="G20" s="191"/>
      <c r="H20" s="186"/>
      <c r="I20" s="191"/>
      <c r="J20" s="186"/>
      <c r="K20" s="186"/>
      <c r="L20" s="186"/>
      <c r="M20" s="186"/>
      <c r="N20" s="186"/>
      <c r="O20" s="186"/>
      <c r="P20" s="126"/>
      <c r="Q20" s="126"/>
      <c r="R20" s="126"/>
      <c r="S20" s="126"/>
      <c r="T20" s="126"/>
      <c r="U20" s="126"/>
      <c r="V20" s="126"/>
      <c r="W20" s="126"/>
      <c r="X20" s="126"/>
      <c r="Y20" s="126"/>
      <c r="Z20" s="126"/>
      <c r="AA20" s="126"/>
      <c r="AB20" s="126"/>
      <c r="AC20" s="126"/>
      <c r="AD20" s="126"/>
      <c r="AE20" s="126"/>
      <c r="AF20" s="126"/>
      <c r="AG20" s="126"/>
      <c r="AH20" s="126"/>
      <c r="AI20" s="186"/>
      <c r="AJ20" s="186"/>
      <c r="AK20" s="186"/>
      <c r="AL20" s="23">
        <v>2</v>
      </c>
      <c r="AM20" s="23"/>
      <c r="AN20" s="23" t="e">
        <f>VLOOKUP(AM20,'[1]Opciones Tratamiento'!$M$2:$O$37,3,FALSE)</f>
        <v>#N/A</v>
      </c>
      <c r="AO20" s="24" t="e">
        <f>VLOOKUP(AM20,'[1]Opciones Tratamiento'!$M$2:$O$37,2,FALSE)</f>
        <v>#N/A</v>
      </c>
      <c r="AP20" s="131" t="s">
        <v>424</v>
      </c>
      <c r="AQ20" s="23" t="str">
        <f t="shared" si="18"/>
        <v>Probabilidad</v>
      </c>
      <c r="AR20" s="25" t="s">
        <v>161</v>
      </c>
      <c r="AS20" s="25" t="s">
        <v>169</v>
      </c>
      <c r="AT20" s="26" t="str">
        <f t="shared" si="19"/>
        <v>40%</v>
      </c>
      <c r="AU20" s="25" t="s">
        <v>172</v>
      </c>
      <c r="AV20" s="25" t="s">
        <v>177</v>
      </c>
      <c r="AW20" s="25" t="s">
        <v>181</v>
      </c>
      <c r="AX20" s="27">
        <f>IFERROR(IF(AND(AQ19="Probabilidad",AQ20="Probabilidad"),(AZ19-(+AZ19*AT20)),IF(AQ20="Probabilidad",(M19-(+M19*AT20)),IF(AQ20="Impacto",AZ19,""))),"")</f>
        <v>0.36</v>
      </c>
      <c r="AY20" s="28" t="str">
        <f t="shared" si="20"/>
        <v>Baja</v>
      </c>
      <c r="AZ20" s="29">
        <f t="shared" si="21"/>
        <v>0.36</v>
      </c>
      <c r="BA20" s="28" t="str">
        <f t="shared" ca="1" si="22"/>
        <v>Leve</v>
      </c>
      <c r="BB20" s="29">
        <f ca="1">IFERROR(IF(AND(AQ19="Impacto",AQ20="Impacto"),(BB19-(+BB19*AT20)),IF(AQ20="Impacto",($AJ$7-(+$AJ$7*AT20)),IF(AQ20="Probabilidad",BB19,""))),"")</f>
        <v>0.2</v>
      </c>
      <c r="BC20" s="30" t="str">
        <f t="shared" ca="1" si="23"/>
        <v>Bajo</v>
      </c>
      <c r="BD20" s="31" t="s">
        <v>186</v>
      </c>
      <c r="BE20" s="32"/>
      <c r="BF20" s="23"/>
      <c r="BG20" s="33"/>
      <c r="BH20" s="33"/>
      <c r="BI20" s="32"/>
      <c r="BJ20" s="136"/>
      <c r="BK20" s="143"/>
      <c r="BL20" s="143"/>
      <c r="BM20" s="143"/>
      <c r="BN20" s="143"/>
      <c r="BO20" s="143"/>
      <c r="BP20" s="143"/>
      <c r="BQ20" s="143"/>
      <c r="BR20" s="143"/>
      <c r="BS20" s="143"/>
      <c r="BT20" s="143"/>
      <c r="BU20" s="143"/>
      <c r="BV20" s="143"/>
      <c r="BW20" s="143"/>
      <c r="BX20" s="143"/>
      <c r="BY20" s="143"/>
      <c r="BZ20" s="143"/>
      <c r="CA20" s="143"/>
      <c r="CB20" s="143"/>
      <c r="CC20" s="143"/>
      <c r="CD20" s="143"/>
    </row>
    <row r="21" spans="1:82" ht="47" customHeight="1" x14ac:dyDescent="0.15">
      <c r="A21" s="186"/>
      <c r="B21" s="191"/>
      <c r="C21" s="191"/>
      <c r="D21" s="191"/>
      <c r="E21" s="186"/>
      <c r="F21" s="191"/>
      <c r="G21" s="191"/>
      <c r="H21" s="186"/>
      <c r="I21" s="191"/>
      <c r="J21" s="186"/>
      <c r="K21" s="186"/>
      <c r="L21" s="186"/>
      <c r="M21" s="186"/>
      <c r="N21" s="186"/>
      <c r="O21" s="186"/>
      <c r="P21" s="126"/>
      <c r="Q21" s="126"/>
      <c r="R21" s="126"/>
      <c r="S21" s="126"/>
      <c r="T21" s="126"/>
      <c r="U21" s="126"/>
      <c r="V21" s="126"/>
      <c r="W21" s="126"/>
      <c r="X21" s="126"/>
      <c r="Y21" s="126"/>
      <c r="Z21" s="126"/>
      <c r="AA21" s="126"/>
      <c r="AB21" s="126"/>
      <c r="AC21" s="126"/>
      <c r="AD21" s="126"/>
      <c r="AE21" s="126"/>
      <c r="AF21" s="126"/>
      <c r="AG21" s="126"/>
      <c r="AH21" s="126"/>
      <c r="AI21" s="186"/>
      <c r="AJ21" s="186"/>
      <c r="AK21" s="186"/>
      <c r="AL21" s="23">
        <v>3</v>
      </c>
      <c r="AM21" s="23"/>
      <c r="AN21" s="23" t="e">
        <f>VLOOKUP(AM21,'[1]Opciones Tratamiento'!$M$2:$O$37,3,FALSE)</f>
        <v>#N/A</v>
      </c>
      <c r="AO21" s="24" t="e">
        <f>VLOOKUP(AM21,'[1]Opciones Tratamiento'!$M$2:$O$37,2,FALSE)</f>
        <v>#N/A</v>
      </c>
      <c r="AP21" s="131" t="s">
        <v>425</v>
      </c>
      <c r="AQ21" s="23" t="str">
        <f t="shared" si="18"/>
        <v>Probabilidad</v>
      </c>
      <c r="AR21" s="25" t="s">
        <v>161</v>
      </c>
      <c r="AS21" s="25" t="s">
        <v>169</v>
      </c>
      <c r="AT21" s="26" t="str">
        <f t="shared" si="19"/>
        <v>40%</v>
      </c>
      <c r="AU21" s="25" t="s">
        <v>172</v>
      </c>
      <c r="AV21" s="25" t="s">
        <v>177</v>
      </c>
      <c r="AW21" s="25" t="s">
        <v>181</v>
      </c>
      <c r="AX21" s="27">
        <f>IFERROR(IF(AND(AQ20="Probabilidad",AQ21="Probabilidad"),(AZ20-(+AZ20*AT21)),IF(AND(AQ20="Impacto",AQ21="Probabilidad"),(AZ19-(+AZ19*AT21)),IF(AQ21="Impacto",AZ20,""))),"")</f>
        <v>0.216</v>
      </c>
      <c r="AY21" s="28" t="str">
        <f t="shared" si="20"/>
        <v>Baja</v>
      </c>
      <c r="AZ21" s="29">
        <f t="shared" si="21"/>
        <v>0.216</v>
      </c>
      <c r="BA21" s="28" t="str">
        <f t="shared" ca="1" si="22"/>
        <v>Leve</v>
      </c>
      <c r="BB21" s="29">
        <f ca="1">IFERROR(IF(AND(AQ20="Impacto",AQ21="Impacto"),(BB20-(+BB20*AT21)),IF(AND(AQ20="Probabilidad",AQ21="Impacto"),(BB19-(+BB19*AT21)),IF(AQ21="Probabilidad",BB20,""))),"")</f>
        <v>0.2</v>
      </c>
      <c r="BC21" s="30" t="str">
        <f t="shared" ca="1" si="23"/>
        <v>Bajo</v>
      </c>
      <c r="BD21" s="31"/>
      <c r="BE21" s="32"/>
      <c r="BF21" s="23"/>
      <c r="BG21" s="33"/>
      <c r="BH21" s="33"/>
      <c r="BI21" s="32"/>
      <c r="BJ21" s="136"/>
      <c r="BK21" s="143"/>
      <c r="BL21" s="143"/>
      <c r="BM21" s="143"/>
      <c r="BN21" s="143"/>
      <c r="BO21" s="143"/>
      <c r="BP21" s="143"/>
      <c r="BQ21" s="143"/>
      <c r="BR21" s="143"/>
      <c r="BS21" s="143"/>
      <c r="BT21" s="143"/>
      <c r="BU21" s="143"/>
      <c r="BV21" s="143"/>
      <c r="BW21" s="143"/>
      <c r="BX21" s="143"/>
      <c r="BY21" s="143"/>
      <c r="BZ21" s="143"/>
      <c r="CA21" s="143"/>
      <c r="CB21" s="143"/>
      <c r="CC21" s="143"/>
      <c r="CD21" s="143"/>
    </row>
    <row r="22" spans="1:82" ht="47" customHeight="1" x14ac:dyDescent="0.15">
      <c r="A22" s="185">
        <v>7</v>
      </c>
      <c r="B22" s="190" t="s">
        <v>426</v>
      </c>
      <c r="C22" s="190" t="s">
        <v>393</v>
      </c>
      <c r="D22" s="190" t="s">
        <v>391</v>
      </c>
      <c r="E22" s="192"/>
      <c r="F22" s="190" t="s">
        <v>427</v>
      </c>
      <c r="G22" s="190" t="s">
        <v>428</v>
      </c>
      <c r="H22" s="192" t="str">
        <f>_xlfn.CONCAT("Posibilidad de efecto dañoso ",IF(C22='[1]Opciones Tratamiento'!$E$2,"económica",IF(C22='[1]Opciones Tratamiento'!$E$4,"económica y reputacional",LOWER(C22)))," por ",LOWER(F22), ", debido a ",LOWER(G22))</f>
        <v>Posibilidad de efecto dañoso sobre recursos públicos por servicios que no brindan utilidad o beneficio, debido a debilidades en el ejercicio de supervisión en los contratos del grupo de gestión administrativa</v>
      </c>
      <c r="I22" s="190" t="s">
        <v>395</v>
      </c>
      <c r="J22" s="185" t="s">
        <v>224</v>
      </c>
      <c r="K22" s="185" t="s">
        <v>251</v>
      </c>
      <c r="L22" s="187" t="str">
        <f>IF(OR(K22='[1]Opciones Tratamiento'!$K$14,K22='[1]Opciones Tratamiento'!$K$15,K22='[1]Opciones Tratamiento'!$K$16),"Muy Baja",IF(OR(K22='[1]Opciones Tratamiento'!$K$10,K22='[1]Opciones Tratamiento'!$K$11,K22='[1]Opciones Tratamiento'!$K$12,K22='[1]Opciones Tratamiento'!$K$13),"Baja",IF(OR(K22='[1]Opciones Tratamiento'!$K$4,K22='[1]Opciones Tratamiento'!$K$5,K22='[1]Opciones Tratamiento'!$K$6,K22='[1]Opciones Tratamiento'!$K$7,K22='[1]Opciones Tratamiento'!$K$8,K22='[1]Opciones Tratamiento'!$K$9),"Media",IF(K22='[1]Opciones Tratamiento'!$K$3,"Alta",IF(OR(K22='[1]Opciones Tratamiento'!$K$2,K22='[1]Opciones Tratamiento'!$K$17),"Muy Alta")))))</f>
        <v>Muy Alta</v>
      </c>
      <c r="M22" s="188">
        <f>IF(L22="","",IF(L22="Muy Baja",0.2,IF(L22="Baja",0.4,IF(L22="Media",0.6,IF(L22="Alta",0.8,IF(L22="Muy Alta",1,))))))</f>
        <v>1</v>
      </c>
      <c r="N22" s="188" t="s">
        <v>146</v>
      </c>
      <c r="O22" s="188" t="str">
        <f ca="1">IF(NOT(ISERROR(MATCH(N22,'[1]Tabla Impacto'!$B$221:$B$223,0))),'[1]Tabla Impacto'!$F$223&amp;"Por favor no seleccionar los criterios de impacto(Afectación Económica o presupuestal y Pérdida Reputacional)",N22)</f>
        <v xml:space="preserve">     Entre 100 y 500 SMLMV </v>
      </c>
      <c r="P22" s="126"/>
      <c r="Q22" s="126"/>
      <c r="R22" s="126"/>
      <c r="S22" s="126"/>
      <c r="T22" s="126"/>
      <c r="U22" s="126"/>
      <c r="V22" s="126"/>
      <c r="W22" s="126"/>
      <c r="X22" s="126"/>
      <c r="Y22" s="126"/>
      <c r="Z22" s="126"/>
      <c r="AA22" s="126"/>
      <c r="AB22" s="126"/>
      <c r="AC22" s="126"/>
      <c r="AD22" s="126"/>
      <c r="AE22" s="126"/>
      <c r="AF22" s="126"/>
      <c r="AG22" s="126"/>
      <c r="AH22" s="126"/>
      <c r="AI22" s="187" t="str">
        <f ca="1">IF(OR(D22='[1]Opciones Tratamiento'!$H$2,D22='[1]Opciones Tratamiento'!$H$4),IF(OR(O22='[1]Tabla Impacto'!$C$11,O22='[1]Tabla Impacto'!$D$11),"Leve",IF(OR(O22='[1]Tabla Impacto'!$C$12,O22='[1]Tabla Impacto'!$D$12),"Menor",IF(OR(O22='[1]Tabla Impacto'!$C$13,O22='[1]Tabla Impacto'!$D$13),"Moderado",IF(OR(O22='[1]Tabla Impacto'!$C$14,O22='[1]Tabla Impacto'!$D$14),"Mayor",IF(OR(O22='[1]Tabla Impacto'!$C$15,O22='[1]Tabla Impacto'!$D$15),"Catastrófico",""))))),IF(D22='[1]Opciones Tratamiento'!$H$3,IF(COUNTIF('[1]Mapa final'!P22:AH22,"Si")&lt;=5,"Moderado",IF(AND(COUNTIF('[1]Mapa final'!P22:AH22,"Si")&gt;5,COUNTIF('[1]Mapa final'!P22:AH22,"Si")&lt;=10),"Mayor",IF(COUNTIF('[1]Mapa final'!P22:AH22,"Si")&gt;10,"Catastrófico","")))))</f>
        <v>Mayor</v>
      </c>
      <c r="AJ22" s="188">
        <f ca="1">IF(AI22="","",IF(AI22="Leve",0.2,IF(AI22="Menor",0.4,IF(AI22="Moderado",0.6,IF(AI22="Mayor",0.8,IF(AI22="Catastrófico",1,))))))</f>
        <v>0.8</v>
      </c>
      <c r="AK22" s="189" t="str">
        <f ca="1">IF(OR(AND(L22="Muy Baja",AI22="Leve"),AND(L22="Muy Baja",AI22="Menor"),AND(L22="Baja",AI22="Leve")),"Bajo",IF(OR(AND(L22="Muy baja",AI22="Moderado"),AND(L22="Baja",AI22="Menor"),AND(L22="Baja",AI22="Moderado"),AND(L22="Media",AI22="Leve"),AND(L22="Media",AI22="Menor"),AND(L22="Media",AI22="Moderado"),AND(L22="Alta",AI22="Leve"),AND(L22="Alta",AI22="Menor")),"Moderado",IF(OR(AND(L22="Muy Baja",AI22="Mayor"),AND(L22="Baja",AI22="Mayor"),AND(L22="Media",AI22="Mayor"),AND(L22="Alta",AI22="Moderado"),AND(L22="Alta",AI22="Mayor"),AND(L22="Muy Alta",AI22="Leve"),AND(L22="Muy Alta",AI22="Menor"),AND(L22="Muy Alta",AI22="Moderado"),AND(L22="Muy Alta",AI22="Mayor")),"Alto",IF(OR(AND(L22="Muy Baja",AI22="Catastrófico"),AND(L22="Baja",AI22="Catastrófico"),AND(L22="Media",AI22="Catastrófico"),AND(L22="Alta",AI22="Catastrófico"),AND(L22="Muy Alta",AI22="Catastrófico")),"Extremo",""))))</f>
        <v>Alto</v>
      </c>
      <c r="AL22" s="23">
        <v>1</v>
      </c>
      <c r="AM22" s="23"/>
      <c r="AN22" s="23" t="e">
        <f>VLOOKUP(AM22,'[1]Opciones Tratamiento'!$M$2:$O$37,3,FALSE)</f>
        <v>#N/A</v>
      </c>
      <c r="AO22" s="24" t="e">
        <f>VLOOKUP(AM22,'[1]Opciones Tratamiento'!$M$2:$O$37,2,FALSE)</f>
        <v>#N/A</v>
      </c>
      <c r="AP22" s="131" t="s">
        <v>429</v>
      </c>
      <c r="AQ22" s="23" t="str">
        <f t="shared" si="18"/>
        <v>Probabilidad</v>
      </c>
      <c r="AR22" s="25" t="s">
        <v>161</v>
      </c>
      <c r="AS22" s="25" t="s">
        <v>169</v>
      </c>
      <c r="AT22" s="26" t="str">
        <f t="shared" si="19"/>
        <v>40%</v>
      </c>
      <c r="AU22" s="25" t="s">
        <v>172</v>
      </c>
      <c r="AV22" s="25" t="s">
        <v>177</v>
      </c>
      <c r="AW22" s="25" t="s">
        <v>181</v>
      </c>
      <c r="AX22" s="27">
        <f>IFERROR(IF(AQ22="Probabilidad",(M22-(+M22*AT22)),IF(AQ22="Impacto",M22,"")),"")</f>
        <v>0.6</v>
      </c>
      <c r="AY22" s="28" t="str">
        <f t="shared" si="20"/>
        <v>Media</v>
      </c>
      <c r="AZ22" s="29">
        <f t="shared" si="21"/>
        <v>0.6</v>
      </c>
      <c r="BA22" s="28" t="str">
        <f t="shared" ca="1" si="22"/>
        <v>Mayor</v>
      </c>
      <c r="BB22" s="29">
        <f ca="1">IFERROR(IF(AQ22="Impacto",(AJ22-(+AJ22*AT22)),IF(AQ22="Probabilidad",AJ22,"")),"")</f>
        <v>0.8</v>
      </c>
      <c r="BC22" s="30" t="str">
        <f t="shared" ca="1" si="23"/>
        <v>Alto</v>
      </c>
      <c r="BD22" s="31" t="s">
        <v>192</v>
      </c>
      <c r="BE22" s="32"/>
      <c r="BF22" s="23"/>
      <c r="BG22" s="33"/>
      <c r="BH22" s="33"/>
      <c r="BI22" s="32"/>
      <c r="BJ22" s="136"/>
      <c r="BK22" s="143"/>
      <c r="BL22" s="143"/>
      <c r="BM22" s="143"/>
      <c r="BN22" s="143"/>
      <c r="BO22" s="143"/>
      <c r="BP22" s="143"/>
      <c r="BQ22" s="143"/>
      <c r="BR22" s="143"/>
      <c r="BS22" s="143"/>
      <c r="BT22" s="143"/>
      <c r="BU22" s="143"/>
      <c r="BV22" s="143"/>
      <c r="BW22" s="143"/>
      <c r="BX22" s="143"/>
      <c r="BY22" s="143"/>
      <c r="BZ22" s="143"/>
      <c r="CA22" s="143"/>
      <c r="CB22" s="143"/>
      <c r="CC22" s="143"/>
      <c r="CD22" s="143"/>
    </row>
    <row r="23" spans="1:82" ht="47" customHeight="1" x14ac:dyDescent="0.15">
      <c r="A23" s="186"/>
      <c r="B23" s="191"/>
      <c r="C23" s="191"/>
      <c r="D23" s="191"/>
      <c r="E23" s="186"/>
      <c r="F23" s="191"/>
      <c r="G23" s="191"/>
      <c r="H23" s="186"/>
      <c r="I23" s="191"/>
      <c r="J23" s="186"/>
      <c r="K23" s="186"/>
      <c r="L23" s="186"/>
      <c r="M23" s="186"/>
      <c r="N23" s="186"/>
      <c r="O23" s="186"/>
      <c r="P23" s="126"/>
      <c r="Q23" s="126"/>
      <c r="R23" s="126"/>
      <c r="S23" s="126"/>
      <c r="T23" s="126"/>
      <c r="U23" s="126"/>
      <c r="V23" s="126"/>
      <c r="W23" s="126"/>
      <c r="X23" s="126"/>
      <c r="Y23" s="126"/>
      <c r="Z23" s="126"/>
      <c r="AA23" s="126"/>
      <c r="AB23" s="126"/>
      <c r="AC23" s="126"/>
      <c r="AD23" s="126"/>
      <c r="AE23" s="126"/>
      <c r="AF23" s="126"/>
      <c r="AG23" s="126"/>
      <c r="AH23" s="126"/>
      <c r="AI23" s="186"/>
      <c r="AJ23" s="186"/>
      <c r="AK23" s="186"/>
      <c r="AL23" s="23">
        <v>2</v>
      </c>
      <c r="AM23" s="23"/>
      <c r="AN23" s="23" t="e">
        <f>VLOOKUP(AM23,'[1]Opciones Tratamiento'!$M$2:$O$37,3,FALSE)</f>
        <v>#N/A</v>
      </c>
      <c r="AO23" s="24" t="e">
        <f>VLOOKUP(AM23,'[1]Opciones Tratamiento'!$M$2:$O$37,2,FALSE)</f>
        <v>#N/A</v>
      </c>
      <c r="AP23" s="131" t="s">
        <v>430</v>
      </c>
      <c r="AQ23" s="23" t="str">
        <f t="shared" si="18"/>
        <v>Probabilidad</v>
      </c>
      <c r="AR23" s="25" t="s">
        <v>161</v>
      </c>
      <c r="AS23" s="25" t="s">
        <v>169</v>
      </c>
      <c r="AT23" s="26" t="str">
        <f t="shared" si="19"/>
        <v>40%</v>
      </c>
      <c r="AU23" s="25" t="s">
        <v>172</v>
      </c>
      <c r="AV23" s="25" t="s">
        <v>177</v>
      </c>
      <c r="AW23" s="25" t="s">
        <v>181</v>
      </c>
      <c r="AX23" s="27">
        <f>IFERROR(IF(AND(AQ22="Probabilidad",AQ23="Probabilidad"),(AZ22-(+AZ22*AT23)),IF(AQ23="Probabilidad",(M22-(+M22*AT23)),IF(AQ23="Impacto",AZ22,""))),"")</f>
        <v>0.36</v>
      </c>
      <c r="AY23" s="28" t="str">
        <f t="shared" si="20"/>
        <v>Baja</v>
      </c>
      <c r="AZ23" s="29">
        <f t="shared" si="21"/>
        <v>0.36</v>
      </c>
      <c r="BA23" s="28" t="str">
        <f t="shared" ca="1" si="22"/>
        <v>Mayor</v>
      </c>
      <c r="BB23" s="29">
        <f ca="1">IFERROR(IF(AND(AQ22="Impacto",AQ23="Impacto"),(BB22-(+BB22*AT23)),IF(AQ23="Impacto",($AJ$7-(+$AJ$7*AT23)),IF(AQ23="Probabilidad",BB22,""))),"")</f>
        <v>0.8</v>
      </c>
      <c r="BC23" s="30" t="str">
        <f t="shared" ca="1" si="23"/>
        <v>Alto</v>
      </c>
      <c r="BD23" s="31" t="s">
        <v>190</v>
      </c>
      <c r="BE23" s="32"/>
      <c r="BF23" s="23"/>
      <c r="BG23" s="33"/>
      <c r="BH23" s="33"/>
      <c r="BI23" s="32"/>
      <c r="BJ23" s="136"/>
      <c r="BK23" s="143"/>
      <c r="BL23" s="143"/>
      <c r="BM23" s="143"/>
      <c r="BN23" s="143"/>
      <c r="BO23" s="143"/>
      <c r="BP23" s="143"/>
      <c r="BQ23" s="143"/>
      <c r="BR23" s="143"/>
      <c r="BS23" s="143"/>
      <c r="BT23" s="143"/>
      <c r="BU23" s="143"/>
      <c r="BV23" s="143"/>
      <c r="BW23" s="143"/>
      <c r="BX23" s="143"/>
      <c r="BY23" s="143"/>
      <c r="BZ23" s="143"/>
      <c r="CA23" s="143"/>
      <c r="CB23" s="143"/>
      <c r="CC23" s="143"/>
      <c r="CD23" s="143"/>
    </row>
    <row r="24" spans="1:82" ht="47" customHeight="1" x14ac:dyDescent="0.15">
      <c r="A24" s="186"/>
      <c r="B24" s="191"/>
      <c r="C24" s="191"/>
      <c r="D24" s="191"/>
      <c r="E24" s="186"/>
      <c r="F24" s="191"/>
      <c r="G24" s="191"/>
      <c r="H24" s="186"/>
      <c r="I24" s="191"/>
      <c r="J24" s="186"/>
      <c r="K24" s="186"/>
      <c r="L24" s="186"/>
      <c r="M24" s="186"/>
      <c r="N24" s="186"/>
      <c r="O24" s="186"/>
      <c r="P24" s="126"/>
      <c r="Q24" s="126"/>
      <c r="R24" s="126"/>
      <c r="S24" s="126"/>
      <c r="T24" s="126"/>
      <c r="U24" s="126"/>
      <c r="V24" s="126"/>
      <c r="W24" s="126"/>
      <c r="X24" s="126"/>
      <c r="Y24" s="126"/>
      <c r="Z24" s="126"/>
      <c r="AA24" s="126"/>
      <c r="AB24" s="126"/>
      <c r="AC24" s="126"/>
      <c r="AD24" s="126"/>
      <c r="AE24" s="126"/>
      <c r="AF24" s="126"/>
      <c r="AG24" s="126"/>
      <c r="AH24" s="126"/>
      <c r="AI24" s="186"/>
      <c r="AJ24" s="186"/>
      <c r="AK24" s="186"/>
      <c r="AL24" s="23">
        <v>3</v>
      </c>
      <c r="AM24" s="23"/>
      <c r="AN24" s="23" t="e">
        <f>VLOOKUP(AM24,'[1]Opciones Tratamiento'!$M$2:$O$37,3,FALSE)</f>
        <v>#N/A</v>
      </c>
      <c r="AO24" s="24" t="e">
        <f>VLOOKUP(AM24,'[1]Opciones Tratamiento'!$M$2:$O$37,2,FALSE)</f>
        <v>#N/A</v>
      </c>
      <c r="AP24" s="131" t="s">
        <v>420</v>
      </c>
      <c r="AQ24" s="23" t="str">
        <f t="shared" si="18"/>
        <v>Impacto</v>
      </c>
      <c r="AR24" s="25" t="s">
        <v>165</v>
      </c>
      <c r="AS24" s="25" t="s">
        <v>169</v>
      </c>
      <c r="AT24" s="26" t="str">
        <f t="shared" si="19"/>
        <v>25%</v>
      </c>
      <c r="AU24" s="25" t="s">
        <v>172</v>
      </c>
      <c r="AV24" s="25" t="s">
        <v>177</v>
      </c>
      <c r="AW24" s="25" t="s">
        <v>181</v>
      </c>
      <c r="AX24" s="27">
        <f>IFERROR(IF(AND(AQ23="Probabilidad",AQ24="Probabilidad"),(AZ23-(+AZ23*AT24)),IF(AND(AQ23="Impacto",AQ24="Probabilidad"),(AZ22-(+AZ22*AT24)),IF(AQ24="Impacto",AZ23,""))),"")</f>
        <v>0.36</v>
      </c>
      <c r="AY24" s="28" t="str">
        <f t="shared" si="20"/>
        <v>Baja</v>
      </c>
      <c r="AZ24" s="29">
        <f t="shared" si="21"/>
        <v>0.36</v>
      </c>
      <c r="BA24" s="28" t="str">
        <f t="shared" ca="1" si="22"/>
        <v>Moderado</v>
      </c>
      <c r="BB24" s="29">
        <f ca="1">IFERROR(IF(AND(AQ23="Impacto",AQ24="Impacto"),(BB23-(+BB23*AT24)),IF(AND(AQ23="Probabilidad",AQ24="Impacto"),(BB22-(+BB22*AT24)),IF(AQ24="Probabilidad",BB23,""))),"")</f>
        <v>0.60000000000000009</v>
      </c>
      <c r="BC24" s="30" t="str">
        <f t="shared" ca="1" si="23"/>
        <v>Moderado</v>
      </c>
      <c r="BD24" s="31" t="s">
        <v>186</v>
      </c>
      <c r="BE24" s="32"/>
      <c r="BF24" s="23"/>
      <c r="BG24" s="33"/>
      <c r="BH24" s="33"/>
      <c r="BI24" s="32"/>
      <c r="BJ24" s="136"/>
      <c r="BK24" s="143"/>
      <c r="BL24" s="143"/>
      <c r="BM24" s="143"/>
      <c r="BN24" s="143"/>
      <c r="BO24" s="143"/>
      <c r="BP24" s="143"/>
      <c r="BQ24" s="143"/>
      <c r="BR24" s="143"/>
      <c r="BS24" s="143"/>
      <c r="BT24" s="143"/>
      <c r="BU24" s="143"/>
      <c r="BV24" s="143"/>
      <c r="BW24" s="143"/>
      <c r="BX24" s="143"/>
      <c r="BY24" s="143"/>
      <c r="BZ24" s="143"/>
      <c r="CA24" s="143"/>
      <c r="CB24" s="143"/>
      <c r="CC24" s="143"/>
      <c r="CD24" s="143"/>
    </row>
    <row r="25" spans="1:82" ht="47" customHeight="1" x14ac:dyDescent="0.15">
      <c r="A25" s="185">
        <v>8</v>
      </c>
      <c r="B25" s="190" t="s">
        <v>426</v>
      </c>
      <c r="C25" s="190" t="s">
        <v>393</v>
      </c>
      <c r="D25" s="190" t="s">
        <v>391</v>
      </c>
      <c r="E25" s="192"/>
      <c r="F25" s="190" t="s">
        <v>431</v>
      </c>
      <c r="G25" s="190" t="s">
        <v>432</v>
      </c>
      <c r="H25" s="192" t="str">
        <f>_xlfn.CONCAT("Posibilidad de efecto dañoso ",IF(C25='[1]Opciones Tratamiento'!$E$2,"económica",IF(C25='[1]Opciones Tratamiento'!$E$4,"económica y reputacional",LOWER(C25)))," por ",LOWER(F25), ", debido a ",LOWER(G25))</f>
        <v>Posibilidad de efecto dañoso sobre recursos públicos por deterioro del bien  , debido a ausencia o debilidades en los mantenimientos preventivos</v>
      </c>
      <c r="I25" s="190" t="s">
        <v>395</v>
      </c>
      <c r="J25" s="185" t="s">
        <v>224</v>
      </c>
      <c r="K25" s="185" t="s">
        <v>251</v>
      </c>
      <c r="L25" s="187" t="str">
        <f>IF(OR(K25='[1]Opciones Tratamiento'!$K$14,K25='[1]Opciones Tratamiento'!$K$15,K25='[1]Opciones Tratamiento'!$K$16),"Muy Baja",IF(OR(K25='[1]Opciones Tratamiento'!$K$10,K25='[1]Opciones Tratamiento'!$K$11,K25='[1]Opciones Tratamiento'!$K$12,K25='[1]Opciones Tratamiento'!$K$13),"Baja",IF(OR(K25='[1]Opciones Tratamiento'!$K$4,K25='[1]Opciones Tratamiento'!$K$5,K25='[1]Opciones Tratamiento'!$K$6,K25='[1]Opciones Tratamiento'!$K$7,K25='[1]Opciones Tratamiento'!$K$8,K25='[1]Opciones Tratamiento'!$K$9),"Media",IF(K25='[1]Opciones Tratamiento'!$K$3,"Alta",IF(OR(K25='[1]Opciones Tratamiento'!$K$2,K25='[1]Opciones Tratamiento'!$K$17),"Muy Alta")))))</f>
        <v>Muy Alta</v>
      </c>
      <c r="M25" s="188">
        <f>IF(L25="","",IF(L25="Muy Baja",0.2,IF(L25="Baja",0.4,IF(L25="Media",0.6,IF(L25="Alta",0.8,IF(L25="Muy Alta",1,))))))</f>
        <v>1</v>
      </c>
      <c r="N25" s="188" t="s">
        <v>144</v>
      </c>
      <c r="O25" s="188" t="str">
        <f ca="1">IF(NOT(ISERROR(MATCH(N25,'[1]Tabla Impacto'!$B$221:$B$223,0))),'[1]Tabla Impacto'!$F$223&amp;"Por favor no seleccionar los criterios de impacto(Afectación Económica o presupuestal y Pérdida Reputacional)",N25)</f>
        <v xml:space="preserve">     Entre 50 y 100 SMLMV </v>
      </c>
      <c r="P25" s="126"/>
      <c r="Q25" s="126"/>
      <c r="R25" s="126"/>
      <c r="S25" s="126"/>
      <c r="T25" s="126"/>
      <c r="U25" s="126"/>
      <c r="V25" s="126"/>
      <c r="W25" s="126"/>
      <c r="X25" s="126"/>
      <c r="Y25" s="126"/>
      <c r="Z25" s="126"/>
      <c r="AA25" s="126"/>
      <c r="AB25" s="126"/>
      <c r="AC25" s="126"/>
      <c r="AD25" s="126"/>
      <c r="AE25" s="126"/>
      <c r="AF25" s="126"/>
      <c r="AG25" s="126"/>
      <c r="AH25" s="126"/>
      <c r="AI25" s="187" t="str">
        <f ca="1">IF(OR(D25='[1]Opciones Tratamiento'!$H$2,D25='[1]Opciones Tratamiento'!$H$4),IF(OR(O25='[1]Tabla Impacto'!$C$11,O25='[1]Tabla Impacto'!$D$11),"Leve",IF(OR(O25='[1]Tabla Impacto'!$C$12,O25='[1]Tabla Impacto'!$D$12),"Menor",IF(OR(O25='[1]Tabla Impacto'!$C$13,O25='[1]Tabla Impacto'!$D$13),"Moderado",IF(OR(O25='[1]Tabla Impacto'!$C$14,O25='[1]Tabla Impacto'!$D$14),"Mayor",IF(OR(O25='[1]Tabla Impacto'!$C$15,O25='[1]Tabla Impacto'!$D$15),"Catastrófico",""))))),IF(D25='[1]Opciones Tratamiento'!$H$3,IF(COUNTIF('[1]Mapa final'!P25:AH25,"Si")&lt;=5,"Moderado",IF(AND(COUNTIF('[1]Mapa final'!P25:AH25,"Si")&gt;5,COUNTIF('[1]Mapa final'!P25:AH25,"Si")&lt;=10),"Mayor",IF(COUNTIF('[1]Mapa final'!P25:AH25,"Si")&gt;10,"Catastrófico","")))))</f>
        <v>Moderado</v>
      </c>
      <c r="AJ25" s="188">
        <f ca="1">IF(AI25="","",IF(AI25="Leve",0.2,IF(AI25="Menor",0.4,IF(AI25="Moderado",0.6,IF(AI25="Mayor",0.8,IF(AI25="Catastrófico",1,))))))</f>
        <v>0.6</v>
      </c>
      <c r="AK25" s="189" t="str">
        <f ca="1">IF(OR(AND(L25="Muy Baja",AI25="Leve"),AND(L25="Muy Baja",AI25="Menor"),AND(L25="Baja",AI25="Leve")),"Bajo",IF(OR(AND(L25="Muy baja",AI25="Moderado"),AND(L25="Baja",AI25="Menor"),AND(L25="Baja",AI25="Moderado"),AND(L25="Media",AI25="Leve"),AND(L25="Media",AI25="Menor"),AND(L25="Media",AI25="Moderado"),AND(L25="Alta",AI25="Leve"),AND(L25="Alta",AI25="Menor")),"Moderado",IF(OR(AND(L25="Muy Baja",AI25="Mayor"),AND(L25="Baja",AI25="Mayor"),AND(L25="Media",AI25="Mayor"),AND(L25="Alta",AI25="Moderado"),AND(L25="Alta",AI25="Mayor"),AND(L25="Muy Alta",AI25="Leve"),AND(L25="Muy Alta",AI25="Menor"),AND(L25="Muy Alta",AI25="Moderado"),AND(L25="Muy Alta",AI25="Mayor")),"Alto",IF(OR(AND(L25="Muy Baja",AI25="Catastrófico"),AND(L25="Baja",AI25="Catastrófico"),AND(L25="Media",AI25="Catastrófico"),AND(L25="Alta",AI25="Catastrófico"),AND(L25="Muy Alta",AI25="Catastrófico")),"Extremo",""))))</f>
        <v>Alto</v>
      </c>
      <c r="AL25" s="23">
        <v>1</v>
      </c>
      <c r="AM25" s="23"/>
      <c r="AN25" s="23" t="e">
        <f>VLOOKUP(AM25,'[1]Opciones Tratamiento'!$M$2:$O$37,3,FALSE)</f>
        <v>#N/A</v>
      </c>
      <c r="AO25" s="24" t="e">
        <f>VLOOKUP(AM25,'[1]Opciones Tratamiento'!$M$2:$O$37,2,FALSE)</f>
        <v>#N/A</v>
      </c>
      <c r="AP25" s="131" t="s">
        <v>433</v>
      </c>
      <c r="AQ25" s="23" t="str">
        <f t="shared" si="18"/>
        <v>Probabilidad</v>
      </c>
      <c r="AR25" s="25" t="s">
        <v>161</v>
      </c>
      <c r="AS25" s="25" t="s">
        <v>169</v>
      </c>
      <c r="AT25" s="26" t="str">
        <f t="shared" si="19"/>
        <v>40%</v>
      </c>
      <c r="AU25" s="25" t="s">
        <v>172</v>
      </c>
      <c r="AV25" s="25" t="s">
        <v>177</v>
      </c>
      <c r="AW25" s="25" t="s">
        <v>181</v>
      </c>
      <c r="AX25" s="27">
        <f>IFERROR(IF(AQ25="Probabilidad",(M25-(+M25*AT25)),IF(AQ25="Impacto",M25,"")),"")</f>
        <v>0.6</v>
      </c>
      <c r="AY25" s="28" t="str">
        <f t="shared" si="20"/>
        <v>Media</v>
      </c>
      <c r="AZ25" s="29">
        <f t="shared" si="21"/>
        <v>0.6</v>
      </c>
      <c r="BA25" s="28" t="str">
        <f t="shared" ca="1" si="22"/>
        <v>Moderado</v>
      </c>
      <c r="BB25" s="29">
        <f ca="1">IFERROR(IF(AQ25="Impacto",(AJ25-(+AJ25*AT25)),IF(AQ25="Probabilidad",AJ25,"")),"")</f>
        <v>0.6</v>
      </c>
      <c r="BC25" s="30" t="str">
        <f t="shared" ca="1" si="23"/>
        <v>Moderado</v>
      </c>
      <c r="BD25" s="31" t="s">
        <v>192</v>
      </c>
      <c r="BE25" s="32"/>
      <c r="BF25" s="23"/>
      <c r="BG25" s="33"/>
      <c r="BH25" s="33"/>
      <c r="BI25" s="32"/>
      <c r="BJ25" s="136"/>
      <c r="BK25" s="143"/>
      <c r="BL25" s="143"/>
      <c r="BM25" s="143"/>
      <c r="BN25" s="143"/>
      <c r="BO25" s="143"/>
      <c r="BP25" s="143"/>
      <c r="BQ25" s="143"/>
      <c r="BR25" s="143"/>
      <c r="BS25" s="143"/>
      <c r="BT25" s="143"/>
      <c r="BU25" s="143"/>
      <c r="BV25" s="143"/>
      <c r="BW25" s="143"/>
      <c r="BX25" s="143"/>
      <c r="BY25" s="143"/>
      <c r="BZ25" s="143"/>
      <c r="CA25" s="143"/>
      <c r="CB25" s="143"/>
      <c r="CC25" s="143"/>
      <c r="CD25" s="143"/>
    </row>
    <row r="26" spans="1:82" ht="47" customHeight="1" x14ac:dyDescent="0.15">
      <c r="A26" s="186"/>
      <c r="B26" s="191"/>
      <c r="C26" s="191"/>
      <c r="D26" s="191"/>
      <c r="E26" s="186"/>
      <c r="F26" s="191"/>
      <c r="G26" s="191"/>
      <c r="H26" s="186"/>
      <c r="I26" s="191"/>
      <c r="J26" s="186"/>
      <c r="K26" s="186"/>
      <c r="L26" s="186"/>
      <c r="M26" s="186"/>
      <c r="N26" s="186"/>
      <c r="O26" s="186"/>
      <c r="P26" s="126"/>
      <c r="Q26" s="126"/>
      <c r="R26" s="126"/>
      <c r="S26" s="126"/>
      <c r="T26" s="126"/>
      <c r="U26" s="126"/>
      <c r="V26" s="126"/>
      <c r="W26" s="126"/>
      <c r="X26" s="126"/>
      <c r="Y26" s="126"/>
      <c r="Z26" s="126"/>
      <c r="AA26" s="126"/>
      <c r="AB26" s="126"/>
      <c r="AC26" s="126"/>
      <c r="AD26" s="126"/>
      <c r="AE26" s="126"/>
      <c r="AF26" s="126"/>
      <c r="AG26" s="126"/>
      <c r="AH26" s="126"/>
      <c r="AI26" s="186"/>
      <c r="AJ26" s="186"/>
      <c r="AK26" s="186"/>
      <c r="AL26" s="23">
        <v>2</v>
      </c>
      <c r="AM26" s="23"/>
      <c r="AN26" s="23" t="e">
        <f>VLOOKUP(AM26,'[1]Opciones Tratamiento'!$M$2:$O$37,3,FALSE)</f>
        <v>#N/A</v>
      </c>
      <c r="AO26" s="24" t="e">
        <f>VLOOKUP(AM26,'[1]Opciones Tratamiento'!$M$2:$O$37,2,FALSE)</f>
        <v>#N/A</v>
      </c>
      <c r="AP26" s="131" t="s">
        <v>434</v>
      </c>
      <c r="AQ26" s="23" t="str">
        <f t="shared" si="18"/>
        <v>Probabilidad</v>
      </c>
      <c r="AR26" s="25" t="s">
        <v>161</v>
      </c>
      <c r="AS26" s="25" t="s">
        <v>169</v>
      </c>
      <c r="AT26" s="26" t="str">
        <f t="shared" si="19"/>
        <v>40%</v>
      </c>
      <c r="AU26" s="25" t="s">
        <v>172</v>
      </c>
      <c r="AV26" s="25" t="s">
        <v>177</v>
      </c>
      <c r="AW26" s="25" t="s">
        <v>181</v>
      </c>
      <c r="AX26" s="27">
        <f>IFERROR(IF(AND(AQ25="Probabilidad",AQ26="Probabilidad"),(AZ25-(+AZ25*AT26)),IF(AQ26="Probabilidad",(M25-(+M25*AT26)),IF(AQ26="Impacto",AZ25,""))),"")</f>
        <v>0.36</v>
      </c>
      <c r="AY26" s="28" t="str">
        <f t="shared" si="20"/>
        <v>Baja</v>
      </c>
      <c r="AZ26" s="29">
        <f t="shared" si="21"/>
        <v>0.36</v>
      </c>
      <c r="BA26" s="28" t="str">
        <f t="shared" ca="1" si="22"/>
        <v>Moderado</v>
      </c>
      <c r="BB26" s="29">
        <f ca="1">IFERROR(IF(AND(AQ25="Impacto",AQ26="Impacto"),(BB25-(+BB25*AT26)),IF(AQ26="Impacto",($AJ$7-(+$AJ$7*AT26)),IF(AQ26="Probabilidad",BB25,""))),"")</f>
        <v>0.6</v>
      </c>
      <c r="BC26" s="30" t="str">
        <f t="shared" ca="1" si="23"/>
        <v>Moderado</v>
      </c>
      <c r="BD26" s="31" t="s">
        <v>190</v>
      </c>
      <c r="BE26" s="32"/>
      <c r="BF26" s="23"/>
      <c r="BG26" s="33"/>
      <c r="BH26" s="33"/>
      <c r="BI26" s="32"/>
      <c r="BJ26" s="136"/>
      <c r="BK26" s="143"/>
      <c r="BL26" s="143"/>
      <c r="BM26" s="143"/>
      <c r="BN26" s="143"/>
      <c r="BO26" s="143"/>
      <c r="BP26" s="143"/>
      <c r="BQ26" s="143"/>
      <c r="BR26" s="143"/>
      <c r="BS26" s="143"/>
      <c r="BT26" s="143"/>
      <c r="BU26" s="143"/>
      <c r="BV26" s="143"/>
      <c r="BW26" s="143"/>
      <c r="BX26" s="143"/>
      <c r="BY26" s="143"/>
      <c r="BZ26" s="143"/>
      <c r="CA26" s="143"/>
      <c r="CB26" s="143"/>
      <c r="CC26" s="143"/>
      <c r="CD26" s="143"/>
    </row>
    <row r="27" spans="1:82" ht="47" customHeight="1" x14ac:dyDescent="0.15">
      <c r="A27" s="186"/>
      <c r="B27" s="191"/>
      <c r="C27" s="191"/>
      <c r="D27" s="191"/>
      <c r="E27" s="186"/>
      <c r="F27" s="191"/>
      <c r="G27" s="191"/>
      <c r="H27" s="186"/>
      <c r="I27" s="191"/>
      <c r="J27" s="186"/>
      <c r="K27" s="186"/>
      <c r="L27" s="186"/>
      <c r="M27" s="186"/>
      <c r="N27" s="186"/>
      <c r="O27" s="186"/>
      <c r="P27" s="126"/>
      <c r="Q27" s="126"/>
      <c r="R27" s="126"/>
      <c r="S27" s="126"/>
      <c r="T27" s="126"/>
      <c r="U27" s="126"/>
      <c r="V27" s="126"/>
      <c r="W27" s="126"/>
      <c r="X27" s="126"/>
      <c r="Y27" s="126"/>
      <c r="Z27" s="126"/>
      <c r="AA27" s="126"/>
      <c r="AB27" s="126"/>
      <c r="AC27" s="126"/>
      <c r="AD27" s="126"/>
      <c r="AE27" s="126"/>
      <c r="AF27" s="126"/>
      <c r="AG27" s="126"/>
      <c r="AH27" s="126"/>
      <c r="AI27" s="186"/>
      <c r="AJ27" s="186"/>
      <c r="AK27" s="186"/>
      <c r="AL27" s="23">
        <v>3</v>
      </c>
      <c r="AM27" s="23"/>
      <c r="AN27" s="23" t="e">
        <f>VLOOKUP(AM27,'[1]Opciones Tratamiento'!$M$2:$O$37,3,FALSE)</f>
        <v>#N/A</v>
      </c>
      <c r="AO27" s="24" t="e">
        <f>VLOOKUP(AM27,'[1]Opciones Tratamiento'!$M$2:$O$37,2,FALSE)</f>
        <v>#N/A</v>
      </c>
      <c r="AP27" s="131" t="s">
        <v>420</v>
      </c>
      <c r="AQ27" s="23" t="str">
        <f t="shared" si="18"/>
        <v>Impacto</v>
      </c>
      <c r="AR27" s="25" t="s">
        <v>165</v>
      </c>
      <c r="AS27" s="25" t="s">
        <v>169</v>
      </c>
      <c r="AT27" s="26" t="str">
        <f t="shared" si="19"/>
        <v>25%</v>
      </c>
      <c r="AU27" s="25" t="s">
        <v>172</v>
      </c>
      <c r="AV27" s="25" t="s">
        <v>177</v>
      </c>
      <c r="AW27" s="25" t="s">
        <v>181</v>
      </c>
      <c r="AX27" s="27">
        <f>IFERROR(IF(AND(AQ26="Probabilidad",AQ27="Probabilidad"),(AZ26-(+AZ26*AT27)),IF(AND(AQ26="Impacto",AQ27="Probabilidad"),(AZ25-(+AZ25*AT27)),IF(AQ27="Impacto",AZ26,""))),"")</f>
        <v>0.36</v>
      </c>
      <c r="AY27" s="28" t="str">
        <f t="shared" si="20"/>
        <v>Baja</v>
      </c>
      <c r="AZ27" s="29">
        <f t="shared" si="21"/>
        <v>0.36</v>
      </c>
      <c r="BA27" s="28" t="str">
        <f t="shared" ca="1" si="22"/>
        <v>Moderado</v>
      </c>
      <c r="BB27" s="29">
        <f ca="1">IFERROR(IF(AND(AQ26="Impacto",AQ27="Impacto"),(BB26-(+BB26*AT27)),IF(AND(AQ26="Probabilidad",AQ27="Impacto"),(BB25-(+BB25*AT27)),IF(AQ27="Probabilidad",BB26,""))),"")</f>
        <v>0.44999999999999996</v>
      </c>
      <c r="BC27" s="30" t="str">
        <f t="shared" ca="1" si="23"/>
        <v>Moderado</v>
      </c>
      <c r="BD27" s="31" t="s">
        <v>186</v>
      </c>
      <c r="BE27" s="32"/>
      <c r="BF27" s="23"/>
      <c r="BG27" s="33"/>
      <c r="BH27" s="33"/>
      <c r="BI27" s="32"/>
      <c r="BJ27" s="136"/>
      <c r="BK27" s="143"/>
      <c r="BL27" s="143"/>
      <c r="BM27" s="143"/>
      <c r="BN27" s="143"/>
      <c r="BO27" s="143"/>
      <c r="BP27" s="143"/>
      <c r="BQ27" s="143"/>
      <c r="BR27" s="143"/>
      <c r="BS27" s="143"/>
      <c r="BT27" s="143"/>
      <c r="BU27" s="143"/>
      <c r="BV27" s="143"/>
      <c r="BW27" s="143"/>
      <c r="BX27" s="143"/>
      <c r="BY27" s="143"/>
      <c r="BZ27" s="143"/>
      <c r="CA27" s="143"/>
      <c r="CB27" s="143"/>
      <c r="CC27" s="143"/>
      <c r="CD27" s="143"/>
    </row>
    <row r="28" spans="1:82" ht="46" customHeight="1" x14ac:dyDescent="0.15">
      <c r="A28" s="185">
        <v>9</v>
      </c>
      <c r="B28" s="190" t="s">
        <v>435</v>
      </c>
      <c r="C28" s="190" t="s">
        <v>393</v>
      </c>
      <c r="D28" s="190" t="s">
        <v>391</v>
      </c>
      <c r="E28" s="192"/>
      <c r="F28" s="190" t="s">
        <v>436</v>
      </c>
      <c r="G28" s="190" t="s">
        <v>437</v>
      </c>
      <c r="H28" s="192" t="str">
        <f>_xlfn.CONCAT("Posibilidad de efecto dañoso ",IF(C28='[2]Opciones Tratamiento'!$E$2,"económica",IF(C28='[2]Opciones Tratamiento'!$E$4,"económica y reputacional",LOWER(C28)))," por ",LOWER(F28), ", debido a ",LOWER(G28))</f>
        <v>Posibilidad de efecto dañoso sobre recursos públicos por omisión en el desarrollo de la acción disciplinaria que pueda generar una sanción económica a favor de la entidad, debido a desconocimiento de la presunta falta disciplinaria</v>
      </c>
      <c r="I28" s="190" t="s">
        <v>395</v>
      </c>
      <c r="J28" s="185" t="s">
        <v>224</v>
      </c>
      <c r="K28" s="185" t="s">
        <v>240</v>
      </c>
      <c r="L28" s="187" t="str">
        <f>IF(OR(K28='[2]Opciones Tratamiento'!$K$14,K28='[2]Opciones Tratamiento'!$K$15,K28='[2]Opciones Tratamiento'!$K$16),"Muy Baja",IF(OR(K28='[2]Opciones Tratamiento'!$K$10,K28='[2]Opciones Tratamiento'!$K$11,K28='[2]Opciones Tratamiento'!$K$12,K28='[2]Opciones Tratamiento'!$K$13),"Baja",IF(OR(K28='[2]Opciones Tratamiento'!$K$4,K28='[2]Opciones Tratamiento'!$K$5,K28='[2]Opciones Tratamiento'!$K$6,K28='[2]Opciones Tratamiento'!$K$7,K28='[2]Opciones Tratamiento'!$K$8,K28='[2]Opciones Tratamiento'!$K$9),"Media",IF(K28='[2]Opciones Tratamiento'!$K$3,"Alta",IF(OR(K28='[2]Opciones Tratamiento'!$K$2,K28='[2]Opciones Tratamiento'!$K$17),"Muy Alta")))))</f>
        <v>Media</v>
      </c>
      <c r="M28" s="188">
        <f>IF(L28="","",IF(L28="Muy Baja",0.2,IF(L28="Baja",0.4,IF(L28="Media",0.6,IF(L28="Alta",0.8,IF(L28="Muy Alta",1,))))))</f>
        <v>0.6</v>
      </c>
      <c r="N28" s="188" t="s">
        <v>139</v>
      </c>
      <c r="O28" s="188" t="str">
        <f>IF(NOT(ISERROR(MATCH(N28,'[2]Tabla Impacto'!$B$221:$B$223,0))),'[2]Tabla Impacto'!$F$223&amp;"Por favor no seleccionar los criterios de impacto(Afectación Económica o presupuestal y Pérdida Reputacional)",N28)</f>
        <v xml:space="preserve">     Afectación menor a 10 SMLMV .</v>
      </c>
      <c r="P28" s="126"/>
      <c r="Q28" s="126"/>
      <c r="R28" s="126"/>
      <c r="S28" s="126"/>
      <c r="T28" s="126"/>
      <c r="U28" s="126"/>
      <c r="V28" s="126"/>
      <c r="W28" s="126"/>
      <c r="X28" s="126"/>
      <c r="Y28" s="126"/>
      <c r="Z28" s="126"/>
      <c r="AA28" s="126"/>
      <c r="AB28" s="126"/>
      <c r="AC28" s="126"/>
      <c r="AD28" s="126"/>
      <c r="AE28" s="126"/>
      <c r="AF28" s="126"/>
      <c r="AG28" s="126"/>
      <c r="AH28" s="126"/>
      <c r="AI28" s="187" t="str">
        <f>IF(OR(D28='[2]Opciones Tratamiento'!$H$2,D28='[2]Opciones Tratamiento'!$H$4),IF(OR(O28='[2]Tabla Impacto'!$C$11,O28='[2]Tabla Impacto'!$D$11),"Leve",IF(OR(O28='[2]Tabla Impacto'!$C$12,O28='[2]Tabla Impacto'!$D$12),"Menor",IF(OR(O28='[2]Tabla Impacto'!$C$13,O28='[2]Tabla Impacto'!$D$13),"Moderado",IF(OR(O28='[2]Tabla Impacto'!$C$14,O28='[2]Tabla Impacto'!$D$14),"Mayor",IF(OR(O28='[2]Tabla Impacto'!$C$15,O28='[2]Tabla Impacto'!$D$15),"Catastrófico",""))))),IF(D28='[2]Opciones Tratamiento'!$H$3,IF(COUNTIF('[2]Mapa final'!P28:AH28,"Si")&lt;=5,"Moderado",IF(AND(COUNTIF('[2]Mapa final'!P28:AH28,"Si")&gt;5,COUNTIF('[2]Mapa final'!P28:AH28,"Si")&lt;=10),"Mayor",IF(COUNTIF('[2]Mapa final'!P28:AH28,"Si")&gt;10,"Catastrófico","")))))</f>
        <v>Leve</v>
      </c>
      <c r="AJ28" s="188">
        <f>IF(AI28="","",IF(AI28="Leve",0.2,IF(AI28="Menor",0.4,IF(AI28="Moderado",0.6,IF(AI28="Mayor",0.8,IF(AI28="Catastrófico",1,))))))</f>
        <v>0.2</v>
      </c>
      <c r="AK28" s="189" t="str">
        <f>IF(OR(AND(L28="Muy Baja",AI28="Leve"),AND(L28="Muy Baja",AI28="Menor"),AND(L28="Baja",AI28="Leve")),"Bajo",IF(OR(AND(L28="Muy baja",AI28="Moderado"),AND(L28="Baja",AI28="Menor"),AND(L28="Baja",AI28="Moderado"),AND(L28="Media",AI28="Leve"),AND(L28="Media",AI28="Menor"),AND(L28="Media",AI28="Moderado"),AND(L28="Alta",AI28="Leve"),AND(L28="Alta",AI28="Menor")),"Moderado",IF(OR(AND(L28="Muy Baja",AI28="Mayor"),AND(L28="Baja",AI28="Mayor"),AND(L28="Media",AI28="Mayor"),AND(L28="Alta",AI28="Moderado"),AND(L28="Alta",AI28="Mayor"),AND(L28="Muy Alta",AI28="Leve"),AND(L28="Muy Alta",AI28="Menor"),AND(L28="Muy Alta",AI28="Moderado"),AND(L28="Muy Alta",AI28="Mayor")),"Alto",IF(OR(AND(L28="Muy Baja",AI28="Catastrófico"),AND(L28="Baja",AI28="Catastrófico"),AND(L28="Media",AI28="Catastrófico"),AND(L28="Alta",AI28="Catastrófico"),AND(L28="Muy Alta",AI28="Catastrófico")),"Extremo",""))))</f>
        <v>Moderado</v>
      </c>
      <c r="AL28" s="23">
        <v>1</v>
      </c>
      <c r="AM28" s="23"/>
      <c r="AN28" s="23" t="e">
        <f>VLOOKUP(AM28,'[2]Opciones Tratamiento'!$M$2:$O$37,3,FALSE)</f>
        <v>#N/A</v>
      </c>
      <c r="AO28" s="24" t="e">
        <f>VLOOKUP(AM28,'[2]Opciones Tratamiento'!$M$2:$O$37,2,FALSE)</f>
        <v>#N/A</v>
      </c>
      <c r="AP28" s="131" t="s">
        <v>438</v>
      </c>
      <c r="AQ28" s="23" t="str">
        <f t="shared" si="18"/>
        <v>Probabilidad</v>
      </c>
      <c r="AR28" s="25" t="s">
        <v>161</v>
      </c>
      <c r="AS28" s="25" t="s">
        <v>169</v>
      </c>
      <c r="AT28" s="26" t="str">
        <f t="shared" si="19"/>
        <v>40%</v>
      </c>
      <c r="AU28" s="25" t="s">
        <v>172</v>
      </c>
      <c r="AV28" s="25" t="s">
        <v>177</v>
      </c>
      <c r="AW28" s="25" t="s">
        <v>181</v>
      </c>
      <c r="AX28" s="27">
        <f>IFERROR(IF(AQ28="Probabilidad",(M28-(+M28*AT28)),IF(AQ28="Impacto",M28,"")),"")</f>
        <v>0.36</v>
      </c>
      <c r="AY28" s="28" t="str">
        <f t="shared" si="20"/>
        <v>Baja</v>
      </c>
      <c r="AZ28" s="29">
        <f t="shared" si="21"/>
        <v>0.36</v>
      </c>
      <c r="BA28" s="28" t="str">
        <f t="shared" si="22"/>
        <v>Leve</v>
      </c>
      <c r="BB28" s="29">
        <f>IFERROR(IF(AQ28="Impacto",(AJ28-(+AJ28*AT28)),IF(AQ28="Probabilidad",AJ28,"")),"")</f>
        <v>0.2</v>
      </c>
      <c r="BC28" s="30" t="str">
        <f t="shared" si="23"/>
        <v>Bajo</v>
      </c>
      <c r="BD28" s="31" t="s">
        <v>192</v>
      </c>
      <c r="BE28" s="32"/>
      <c r="BF28" s="23"/>
      <c r="BG28" s="33"/>
      <c r="BH28" s="33"/>
      <c r="BI28" s="32"/>
      <c r="BJ28" s="136"/>
      <c r="BK28" s="142"/>
      <c r="BL28" s="142"/>
      <c r="BM28" s="142"/>
      <c r="BN28" s="142"/>
      <c r="BO28" s="142"/>
      <c r="BP28" s="142"/>
      <c r="BQ28" s="142"/>
      <c r="BR28" s="142"/>
      <c r="BS28" s="142"/>
      <c r="BT28" s="142"/>
      <c r="BU28" s="142"/>
      <c r="BV28" s="142"/>
      <c r="BW28" s="142"/>
      <c r="BX28" s="142"/>
      <c r="BY28" s="142"/>
      <c r="BZ28" s="142"/>
      <c r="CA28" s="142"/>
      <c r="CB28" s="142"/>
      <c r="CC28" s="142"/>
      <c r="CD28" s="142"/>
    </row>
    <row r="29" spans="1:82" ht="70" customHeight="1" x14ac:dyDescent="0.15">
      <c r="A29" s="186"/>
      <c r="B29" s="191"/>
      <c r="C29" s="191"/>
      <c r="D29" s="191"/>
      <c r="E29" s="186"/>
      <c r="F29" s="191"/>
      <c r="G29" s="191"/>
      <c r="H29" s="186"/>
      <c r="I29" s="191"/>
      <c r="J29" s="186"/>
      <c r="K29" s="186"/>
      <c r="L29" s="186"/>
      <c r="M29" s="186"/>
      <c r="N29" s="186"/>
      <c r="O29" s="186"/>
      <c r="P29" s="126"/>
      <c r="Q29" s="126"/>
      <c r="R29" s="126"/>
      <c r="S29" s="126"/>
      <c r="T29" s="126"/>
      <c r="U29" s="126"/>
      <c r="V29" s="126"/>
      <c r="W29" s="126"/>
      <c r="X29" s="126"/>
      <c r="Y29" s="126"/>
      <c r="Z29" s="126"/>
      <c r="AA29" s="126"/>
      <c r="AB29" s="126"/>
      <c r="AC29" s="126"/>
      <c r="AD29" s="126"/>
      <c r="AE29" s="126"/>
      <c r="AF29" s="126"/>
      <c r="AG29" s="126"/>
      <c r="AH29" s="126"/>
      <c r="AI29" s="186"/>
      <c r="AJ29" s="186"/>
      <c r="AK29" s="186"/>
      <c r="AL29" s="23">
        <v>2</v>
      </c>
      <c r="AM29" s="23"/>
      <c r="AN29" s="23" t="e">
        <f>VLOOKUP(AM29,'[2]Opciones Tratamiento'!$M$2:$O$37,3,FALSE)</f>
        <v>#N/A</v>
      </c>
      <c r="AO29" s="24" t="e">
        <f>VLOOKUP(AM29,'[2]Opciones Tratamiento'!$M$2:$O$37,2,FALSE)</f>
        <v>#N/A</v>
      </c>
      <c r="AP29" s="131" t="s">
        <v>439</v>
      </c>
      <c r="AQ29" s="23" t="str">
        <f t="shared" ref="AQ29:AQ35" si="24">IF(OR(AR29="Preventivo",AR29="Detectivo"),"Probabilidad",IF(AR29="Correctivo","Impacto",""))</f>
        <v>Probabilidad</v>
      </c>
      <c r="AR29" s="25" t="s">
        <v>161</v>
      </c>
      <c r="AS29" s="25" t="s">
        <v>169</v>
      </c>
      <c r="AT29" s="26" t="str">
        <f t="shared" ref="AT29:AT35" si="25">IF(AND(AR29="Preventivo",AS29="Automático"),"50%",IF(AND(AR29="Preventivo",AS29="Manual"),"40%",IF(AND(AR29="Detectivo",AS29="Automático"),"40%",IF(AND(AR29="Detectivo",AS29="Manual"),"30%",IF(AND(AR29="Correctivo",AS29="Automático"),"35%",IF(AND(AR29="Correctivo",AS29="Manual"),"25%",""))))))</f>
        <v>40%</v>
      </c>
      <c r="AU29" s="25" t="s">
        <v>172</v>
      </c>
      <c r="AV29" s="25" t="s">
        <v>177</v>
      </c>
      <c r="AW29" s="25" t="s">
        <v>181</v>
      </c>
      <c r="AX29" s="27">
        <f>IFERROR(IF(AND(AQ28="Probabilidad",AQ29="Probabilidad"),(AZ28-(+AZ28*AT29)),IF(AQ29="Probabilidad",(M28-(+M28*AT29)),IF(AQ29="Impacto",AZ28,""))),"")</f>
        <v>0.216</v>
      </c>
      <c r="AY29" s="28" t="str">
        <f t="shared" si="20"/>
        <v>Baja</v>
      </c>
      <c r="AZ29" s="29">
        <f t="shared" si="21"/>
        <v>0.216</v>
      </c>
      <c r="BA29" s="28" t="str">
        <f t="shared" si="22"/>
        <v>Leve</v>
      </c>
      <c r="BB29" s="29">
        <f>IFERROR(IF(AND(AQ28="Impacto",AQ29="Impacto"),(BB28-(+BB28*AT29)),IF(AQ29="Impacto",($AJ$7-(+$AJ$7*AT29)),IF(AQ29="Probabilidad",BB28,""))),"")</f>
        <v>0.2</v>
      </c>
      <c r="BC29" s="30" t="str">
        <f t="shared" si="23"/>
        <v>Bajo</v>
      </c>
      <c r="BD29" s="31" t="s">
        <v>186</v>
      </c>
      <c r="BE29" s="32"/>
      <c r="BF29" s="23"/>
      <c r="BG29" s="33"/>
      <c r="BH29" s="33"/>
      <c r="BI29" s="32"/>
      <c r="BJ29" s="136"/>
      <c r="BK29" s="139"/>
      <c r="BL29" s="139"/>
      <c r="BM29" s="139"/>
      <c r="BN29" s="139"/>
      <c r="BO29" s="139"/>
      <c r="BP29" s="139"/>
      <c r="BQ29" s="139"/>
      <c r="BR29" s="139"/>
      <c r="BS29" s="139"/>
      <c r="BT29" s="139"/>
      <c r="BU29" s="139"/>
      <c r="BV29" s="139"/>
      <c r="BW29" s="139"/>
      <c r="BX29" s="139"/>
      <c r="BY29" s="139"/>
      <c r="BZ29" s="139"/>
      <c r="CA29" s="139"/>
      <c r="CB29" s="139"/>
      <c r="CC29" s="139"/>
      <c r="CD29" s="139"/>
    </row>
    <row r="30" spans="1:82" ht="108" customHeight="1" x14ac:dyDescent="0.15">
      <c r="A30" s="146">
        <v>10</v>
      </c>
      <c r="B30" s="147" t="s">
        <v>440</v>
      </c>
      <c r="C30" s="147" t="s">
        <v>393</v>
      </c>
      <c r="D30" s="147" t="s">
        <v>391</v>
      </c>
      <c r="E30" s="148"/>
      <c r="F30" s="147" t="s">
        <v>441</v>
      </c>
      <c r="G30" s="147" t="s">
        <v>442</v>
      </c>
      <c r="H30" s="148" t="str">
        <f>_xlfn.CONCAT("Posibilidad de efecto dañoso ",IF(C30='[3]Opciones Tratamiento'!$E$2,"económica",IF(C30='[3]Opciones Tratamiento'!$E$4,"económica y reputacional",LOWER(C30)))," por ",LOWER(F30), ", debido a ",LOWER(G30))</f>
        <v>Posibilidad de efecto dañoso sobre recursos públicos por pago de viáticos, honorarios o gastos de desplazamiento sin justificación o por encima de los valores establecidos normativamente, debido a debilidades en la verificación de los soportes para aprobar el pago</v>
      </c>
      <c r="I30" s="147" t="s">
        <v>395</v>
      </c>
      <c r="J30" s="146" t="s">
        <v>224</v>
      </c>
      <c r="K30" s="146" t="s">
        <v>240</v>
      </c>
      <c r="L30" s="144" t="str">
        <f>IF(OR(K30='[3]Opciones Tratamiento'!$K$14,K30='[3]Opciones Tratamiento'!$K$15,K30='[3]Opciones Tratamiento'!$K$16),"Muy Baja",IF(OR(K30='[3]Opciones Tratamiento'!$K$10,K30='[3]Opciones Tratamiento'!$K$11,K30='[3]Opciones Tratamiento'!$K$12,K30='[3]Opciones Tratamiento'!$K$13),"Baja",IF(OR(K30='[3]Opciones Tratamiento'!$K$4,K30='[3]Opciones Tratamiento'!$K$5,K30='[3]Opciones Tratamiento'!$K$6,K30='[3]Opciones Tratamiento'!$K$7,K30='[3]Opciones Tratamiento'!$K$8,K30='[3]Opciones Tratamiento'!$K$9),"Media",IF(K30='[3]Opciones Tratamiento'!$K$3,"Alta",IF(OR(K30='[3]Opciones Tratamiento'!$K$2,K30='[3]Opciones Tratamiento'!$K$17),"Muy Alta")))))</f>
        <v>Media</v>
      </c>
      <c r="M30" s="126">
        <f>IF(L30="","",IF(L30="Muy Baja",0.2,IF(L30="Baja",0.4,IF(L30="Media",0.6,IF(L30="Alta",0.8,IF(L30="Muy Alta",1,))))))</f>
        <v>0.6</v>
      </c>
      <c r="N30" s="126" t="s">
        <v>139</v>
      </c>
      <c r="O30" s="126" t="str">
        <f ca="1">IF(NOT(ISERROR(MATCH(N30,'[3]Tabla Impacto'!$B$221:$B$223,0))),'[3]Tabla Impacto'!$F$223&amp;"Por favor no seleccionar los criterios de impacto(Afectación Económica o presupuestal y Pérdida Reputacional)",N30)</f>
        <v xml:space="preserve">     Afectación menor a 10 SMLMV .</v>
      </c>
      <c r="P30" s="126"/>
      <c r="Q30" s="126"/>
      <c r="R30" s="126"/>
      <c r="S30" s="126"/>
      <c r="T30" s="126"/>
      <c r="U30" s="126"/>
      <c r="V30" s="126"/>
      <c r="W30" s="126"/>
      <c r="X30" s="126"/>
      <c r="Y30" s="126"/>
      <c r="Z30" s="126"/>
      <c r="AA30" s="126"/>
      <c r="AB30" s="126"/>
      <c r="AC30" s="126"/>
      <c r="AD30" s="126"/>
      <c r="AE30" s="126"/>
      <c r="AF30" s="126"/>
      <c r="AG30" s="126"/>
      <c r="AH30" s="126"/>
      <c r="AI30" s="144" t="str">
        <f ca="1">IF(OR(D30='[3]Opciones Tratamiento'!$H$2,D30='[3]Opciones Tratamiento'!$H$4),IF(OR(O30='[3]Tabla Impacto'!$C$11,O30='[3]Tabla Impacto'!$D$11),"Leve",IF(OR(O30='[3]Tabla Impacto'!$C$12,O30='[3]Tabla Impacto'!$D$12),"Menor",IF(OR(O30='[3]Tabla Impacto'!$C$13,O30='[3]Tabla Impacto'!$D$13),"Moderado",IF(OR(O30='[3]Tabla Impacto'!$C$14,O30='[3]Tabla Impacto'!$D$14),"Mayor",IF(OR(O30='[3]Tabla Impacto'!$C$15,O30='[3]Tabla Impacto'!$D$15),"Catastrófico",""))))),IF(D30='[3]Opciones Tratamiento'!$H$3,IF(COUNTIF('[3]Mapa final'!P30:AH30,"Si")&lt;=5,"Moderado",IF(AND(COUNTIF('[3]Mapa final'!P30:AH30,"Si")&gt;5,COUNTIF('[3]Mapa final'!P30:AH30,"Si")&lt;=10),"Mayor",IF(COUNTIF('[3]Mapa final'!P30:AH30,"Si")&gt;10,"Catastrófico","")))))</f>
        <v>Leve</v>
      </c>
      <c r="AJ30" s="126">
        <f ca="1">IF(AI30="","",IF(AI30="Leve",0.2,IF(AI30="Menor",0.4,IF(AI30="Moderado",0.6,IF(AI30="Mayor",0.8,IF(AI30="Catastrófico",1,))))))</f>
        <v>0.2</v>
      </c>
      <c r="AK30" s="145" t="str">
        <f ca="1">IF(OR(AND(L30="Muy Baja",AI30="Leve"),AND(L30="Muy Baja",AI30="Menor"),AND(L30="Baja",AI30="Leve")),"Bajo",IF(OR(AND(L30="Muy baja",AI30="Moderado"),AND(L30="Baja",AI30="Menor"),AND(L30="Baja",AI30="Moderado"),AND(L30="Media",AI30="Leve"),AND(L30="Media",AI30="Menor"),AND(L30="Media",AI30="Moderado"),AND(L30="Alta",AI30="Leve"),AND(L30="Alta",AI30="Menor")),"Moderado",IF(OR(AND(L30="Muy Baja",AI30="Mayor"),AND(L30="Baja",AI30="Mayor"),AND(L30="Media",AI30="Mayor"),AND(L30="Alta",AI30="Moderado"),AND(L30="Alta",AI30="Mayor"),AND(L30="Muy Alta",AI30="Leve"),AND(L30="Muy Alta",AI30="Menor"),AND(L30="Muy Alta",AI30="Moderado"),AND(L30="Muy Alta",AI30="Mayor")),"Alto",IF(OR(AND(L30="Muy Baja",AI30="Catastrófico"),AND(L30="Baja",AI30="Catastrófico"),AND(L30="Media",AI30="Catastrófico"),AND(L30="Alta",AI30="Catastrófico"),AND(L30="Muy Alta",AI30="Catastrófico")),"Extremo",""))))</f>
        <v>Moderado</v>
      </c>
      <c r="AL30" s="23">
        <v>1</v>
      </c>
      <c r="AM30" s="23"/>
      <c r="AN30" s="23" t="e">
        <f>VLOOKUP(AM30,'[3]Opciones Tratamiento'!$M$2:$O$37,3,FALSE)</f>
        <v>#N/A</v>
      </c>
      <c r="AO30" s="24" t="e">
        <f>VLOOKUP(AM30,'[3]Opciones Tratamiento'!$M$2:$O$37,2,FALSE)</f>
        <v>#N/A</v>
      </c>
      <c r="AP30" s="131" t="s">
        <v>443</v>
      </c>
      <c r="AQ30" s="23" t="str">
        <f t="shared" si="24"/>
        <v>Probabilidad</v>
      </c>
      <c r="AR30" s="25" t="s">
        <v>161</v>
      </c>
      <c r="AS30" s="25" t="s">
        <v>169</v>
      </c>
      <c r="AT30" s="26" t="str">
        <f t="shared" si="25"/>
        <v>40%</v>
      </c>
      <c r="AU30" s="25" t="s">
        <v>172</v>
      </c>
      <c r="AV30" s="25" t="s">
        <v>177</v>
      </c>
      <c r="AW30" s="25" t="s">
        <v>181</v>
      </c>
      <c r="AX30" s="27">
        <f>IFERROR(IF(AQ30="Probabilidad",(M30-(+M30*AT30)),IF(AQ30="Impacto",M30,"")),"")</f>
        <v>0.36</v>
      </c>
      <c r="AY30" s="28" t="str">
        <f t="shared" si="20"/>
        <v>Baja</v>
      </c>
      <c r="AZ30" s="29">
        <f t="shared" si="21"/>
        <v>0.36</v>
      </c>
      <c r="BA30" s="28" t="str">
        <f t="shared" ca="1" si="22"/>
        <v>Leve</v>
      </c>
      <c r="BB30" s="29">
        <f ca="1">IFERROR(IF(AQ30="Impacto",(AJ30-(+AJ30*AT30)),IF(AQ30="Probabilidad",AJ30,"")),"")</f>
        <v>0.2</v>
      </c>
      <c r="BC30" s="30" t="str">
        <f t="shared" ca="1" si="23"/>
        <v>Bajo</v>
      </c>
      <c r="BD30" s="31" t="s">
        <v>186</v>
      </c>
      <c r="BE30" s="32"/>
      <c r="BF30" s="23"/>
      <c r="BG30" s="33"/>
      <c r="BH30" s="33"/>
      <c r="BI30" s="32"/>
      <c r="BJ30" s="136"/>
      <c r="BK30" s="142"/>
      <c r="BL30" s="142"/>
      <c r="BM30" s="142"/>
      <c r="BN30" s="142"/>
      <c r="BO30" s="142"/>
      <c r="BP30" s="142"/>
      <c r="BQ30" s="142"/>
      <c r="BR30" s="142"/>
      <c r="BS30" s="142"/>
      <c r="BT30" s="142"/>
      <c r="BU30" s="142"/>
      <c r="BV30" s="142"/>
      <c r="BW30" s="142"/>
      <c r="BX30" s="142"/>
      <c r="BY30" s="142"/>
      <c r="BZ30" s="142"/>
      <c r="CA30" s="142"/>
      <c r="CB30" s="142"/>
      <c r="CC30" s="142"/>
      <c r="CD30" s="142"/>
    </row>
    <row r="31" spans="1:82" ht="54" customHeight="1" x14ac:dyDescent="0.15">
      <c r="A31" s="185">
        <v>11</v>
      </c>
      <c r="B31" s="190" t="s">
        <v>440</v>
      </c>
      <c r="C31" s="190" t="s">
        <v>393</v>
      </c>
      <c r="D31" s="190" t="s">
        <v>391</v>
      </c>
      <c r="E31" s="192"/>
      <c r="F31" s="190" t="s">
        <v>444</v>
      </c>
      <c r="G31" s="190" t="s">
        <v>445</v>
      </c>
      <c r="H31" s="192" t="str">
        <f>_xlfn.CONCAT("Posibilidad de efecto dañoso ",IF(C31='[3]Opciones Tratamiento'!$E$2,"económica",IF(C31='[3]Opciones Tratamiento'!$E$4,"económica y reputacional",LOWER(C31)))," por ",LOWER(F31), ", debido a ",LOWER(G31))</f>
        <v>Posibilidad de efecto dañoso sobre recursos públicos por mayor valor pagado por concepto de nomina, debido a errores en la nbase de datos utilizada para el pago o errores en la digitación</v>
      </c>
      <c r="I31" s="190" t="s">
        <v>395</v>
      </c>
      <c r="J31" s="185" t="s">
        <v>224</v>
      </c>
      <c r="K31" s="185" t="s">
        <v>242</v>
      </c>
      <c r="L31" s="187" t="str">
        <f>IF(OR(K31='[3]Opciones Tratamiento'!$K$14,K31='[3]Opciones Tratamiento'!$K$15,K31='[3]Opciones Tratamiento'!$K$16),"Muy Baja",IF(OR(K31='[3]Opciones Tratamiento'!$K$10,K31='[3]Opciones Tratamiento'!$K$11,K31='[3]Opciones Tratamiento'!$K$12,K31='[3]Opciones Tratamiento'!$K$13),"Baja",IF(OR(K31='[3]Opciones Tratamiento'!$K$4,K31='[3]Opciones Tratamiento'!$K$5,K31='[3]Opciones Tratamiento'!$K$6,K31='[3]Opciones Tratamiento'!$K$7,K31='[3]Opciones Tratamiento'!$K$8,K31='[3]Opciones Tratamiento'!$K$9),"Media",IF(K31='[3]Opciones Tratamiento'!$K$3,"Alta",IF(OR(K31='[3]Opciones Tratamiento'!$K$2,K31='[3]Opciones Tratamiento'!$K$17),"Muy Alta")))))</f>
        <v>Baja</v>
      </c>
      <c r="M31" s="188">
        <f>IF(L31="","",IF(L31="Muy Baja",0.2,IF(L31="Baja",0.4,IF(L31="Media",0.6,IF(L31="Alta",0.8,IF(L31="Muy Alta",1,))))))</f>
        <v>0.4</v>
      </c>
      <c r="N31" s="188" t="s">
        <v>139</v>
      </c>
      <c r="O31" s="188" t="str">
        <f ca="1">IF(NOT(ISERROR(MATCH(N31,'[3]Tabla Impacto'!$B$221:$B$223,0))),'[3]Tabla Impacto'!$F$223&amp;"Por favor no seleccionar los criterios de impacto(Afectación Económica o presupuestal y Pérdida Reputacional)",N31)</f>
        <v xml:space="preserve">     Afectación menor a 10 SMLMV .</v>
      </c>
      <c r="P31" s="126"/>
      <c r="Q31" s="126"/>
      <c r="R31" s="126"/>
      <c r="S31" s="126"/>
      <c r="T31" s="126"/>
      <c r="U31" s="126"/>
      <c r="V31" s="126"/>
      <c r="W31" s="126"/>
      <c r="X31" s="126"/>
      <c r="Y31" s="126"/>
      <c r="Z31" s="126"/>
      <c r="AA31" s="126"/>
      <c r="AB31" s="126"/>
      <c r="AC31" s="126"/>
      <c r="AD31" s="126"/>
      <c r="AE31" s="126"/>
      <c r="AF31" s="126"/>
      <c r="AG31" s="126"/>
      <c r="AH31" s="126"/>
      <c r="AI31" s="187" t="str">
        <f ca="1">IF(OR(D31='[3]Opciones Tratamiento'!$H$2,D31='[3]Opciones Tratamiento'!$H$4),IF(OR(O31='[3]Tabla Impacto'!$C$11,O31='[3]Tabla Impacto'!$D$11),"Leve",IF(OR(O31='[3]Tabla Impacto'!$C$12,O31='[3]Tabla Impacto'!$D$12),"Menor",IF(OR(O31='[3]Tabla Impacto'!$C$13,O31='[3]Tabla Impacto'!$D$13),"Moderado",IF(OR(O31='[3]Tabla Impacto'!$C$14,O31='[3]Tabla Impacto'!$D$14),"Mayor",IF(OR(O31='[3]Tabla Impacto'!$C$15,O31='[3]Tabla Impacto'!$D$15),"Catastrófico",""))))),IF(D31='[3]Opciones Tratamiento'!$H$3,IF(COUNTIF('[3]Mapa final'!P36:AH36,"Si")&lt;=5,"Moderado",IF(AND(COUNTIF('[3]Mapa final'!P36:AH36,"Si")&gt;5,COUNTIF('[3]Mapa final'!P36:AH36,"Si")&lt;=10),"Mayor",IF(COUNTIF('[3]Mapa final'!P36:AH36,"Si")&gt;10,"Catastrófico","")))))</f>
        <v>Leve</v>
      </c>
      <c r="AJ31" s="188">
        <f ca="1">IF(AI31="","",IF(AI31="Leve",0.2,IF(AI31="Menor",0.4,IF(AI31="Moderado",0.6,IF(AI31="Mayor",0.8,IF(AI31="Catastrófico",1,))))))</f>
        <v>0.2</v>
      </c>
      <c r="AK31" s="189" t="str">
        <f ca="1">IF(OR(AND(L31="Muy Baja",AI31="Leve"),AND(L31="Muy Baja",AI31="Menor"),AND(L31="Baja",AI31="Leve")),"Bajo",IF(OR(AND(L31="Muy baja",AI31="Moderado"),AND(L31="Baja",AI31="Menor"),AND(L31="Baja",AI31="Moderado"),AND(L31="Media",AI31="Leve"),AND(L31="Media",AI31="Menor"),AND(L31="Media",AI31="Moderado"),AND(L31="Alta",AI31="Leve"),AND(L31="Alta",AI31="Menor")),"Moderado",IF(OR(AND(L31="Muy Baja",AI31="Mayor"),AND(L31="Baja",AI31="Mayor"),AND(L31="Media",AI31="Mayor"),AND(L31="Alta",AI31="Moderado"),AND(L31="Alta",AI31="Mayor"),AND(L31="Muy Alta",AI31="Leve"),AND(L31="Muy Alta",AI31="Menor"),AND(L31="Muy Alta",AI31="Moderado"),AND(L31="Muy Alta",AI31="Mayor")),"Alto",IF(OR(AND(L31="Muy Baja",AI31="Catastrófico"),AND(L31="Baja",AI31="Catastrófico"),AND(L31="Media",AI31="Catastrófico"),AND(L31="Alta",AI31="Catastrófico"),AND(L31="Muy Alta",AI31="Catastrófico")),"Extremo",""))))</f>
        <v>Bajo</v>
      </c>
      <c r="AL31" s="23">
        <v>1</v>
      </c>
      <c r="AM31" s="23"/>
      <c r="AN31" s="23" t="e">
        <f>VLOOKUP(AM31,'[3]Opciones Tratamiento'!$M$2:$O$37,3,FALSE)</f>
        <v>#N/A</v>
      </c>
      <c r="AO31" s="24" t="e">
        <f>VLOOKUP(AM31,'[3]Opciones Tratamiento'!$M$2:$O$37,2,FALSE)</f>
        <v>#N/A</v>
      </c>
      <c r="AP31" s="131" t="s">
        <v>446</v>
      </c>
      <c r="AQ31" s="23" t="str">
        <f t="shared" si="24"/>
        <v>Probabilidad</v>
      </c>
      <c r="AR31" s="25" t="s">
        <v>161</v>
      </c>
      <c r="AS31" s="25" t="s">
        <v>169</v>
      </c>
      <c r="AT31" s="26" t="str">
        <f t="shared" si="25"/>
        <v>40%</v>
      </c>
      <c r="AU31" s="25" t="s">
        <v>172</v>
      </c>
      <c r="AV31" s="25" t="s">
        <v>177</v>
      </c>
      <c r="AW31" s="25" t="s">
        <v>181</v>
      </c>
      <c r="AX31" s="27">
        <f>IFERROR(IF(AQ31="Probabilidad",(M31-(+M31*AT31)),IF(AQ31="Impacto",M31,"")),"")</f>
        <v>0.24</v>
      </c>
      <c r="AY31" s="28" t="str">
        <f t="shared" si="20"/>
        <v>Baja</v>
      </c>
      <c r="AZ31" s="29">
        <f t="shared" si="21"/>
        <v>0.24</v>
      </c>
      <c r="BA31" s="28" t="str">
        <f t="shared" ca="1" si="22"/>
        <v>Leve</v>
      </c>
      <c r="BB31" s="29">
        <f ca="1">IFERROR(IF(AQ31="Impacto",(AJ31-(+AJ31*AT31)),IF(AQ31="Probabilidad",AJ31,"")),"")</f>
        <v>0.2</v>
      </c>
      <c r="BC31" s="30" t="str">
        <f t="shared" ca="1" si="23"/>
        <v>Bajo</v>
      </c>
      <c r="BD31" s="31" t="s">
        <v>192</v>
      </c>
      <c r="BE31" s="32"/>
      <c r="BF31" s="23"/>
      <c r="BG31" s="33"/>
      <c r="BH31" s="33"/>
      <c r="BI31" s="32"/>
      <c r="BJ31" s="136"/>
      <c r="BK31" s="143"/>
      <c r="BL31" s="143"/>
      <c r="BM31" s="143"/>
      <c r="BN31" s="143"/>
      <c r="BO31" s="143"/>
      <c r="BP31" s="143"/>
      <c r="BQ31" s="143"/>
      <c r="BR31" s="143"/>
      <c r="BS31" s="143"/>
      <c r="BT31" s="143"/>
      <c r="BU31" s="143"/>
      <c r="BV31" s="143"/>
      <c r="BW31" s="143"/>
      <c r="BX31" s="143"/>
      <c r="BY31" s="143"/>
      <c r="BZ31" s="143"/>
      <c r="CA31" s="143"/>
      <c r="CB31" s="143"/>
      <c r="CC31" s="143"/>
      <c r="CD31" s="143"/>
    </row>
    <row r="32" spans="1:82" ht="52" customHeight="1" x14ac:dyDescent="0.15">
      <c r="A32" s="186"/>
      <c r="B32" s="191"/>
      <c r="C32" s="191"/>
      <c r="D32" s="191"/>
      <c r="E32" s="186"/>
      <c r="F32" s="191"/>
      <c r="G32" s="191"/>
      <c r="H32" s="186"/>
      <c r="I32" s="191"/>
      <c r="J32" s="186"/>
      <c r="K32" s="186"/>
      <c r="L32" s="186"/>
      <c r="M32" s="186"/>
      <c r="N32" s="186"/>
      <c r="O32" s="186"/>
      <c r="P32" s="126"/>
      <c r="Q32" s="126"/>
      <c r="R32" s="126"/>
      <c r="S32" s="126"/>
      <c r="T32" s="126"/>
      <c r="U32" s="126"/>
      <c r="V32" s="126"/>
      <c r="W32" s="126"/>
      <c r="X32" s="126"/>
      <c r="Y32" s="126"/>
      <c r="Z32" s="126"/>
      <c r="AA32" s="126"/>
      <c r="AB32" s="126"/>
      <c r="AC32" s="126"/>
      <c r="AD32" s="126"/>
      <c r="AE32" s="126"/>
      <c r="AF32" s="126"/>
      <c r="AG32" s="126"/>
      <c r="AH32" s="126"/>
      <c r="AI32" s="186"/>
      <c r="AJ32" s="186"/>
      <c r="AK32" s="186"/>
      <c r="AL32" s="23">
        <v>2</v>
      </c>
      <c r="AM32" s="23"/>
      <c r="AN32" s="23" t="e">
        <f>VLOOKUP(AM32,'[3]Opciones Tratamiento'!$M$2:$O$37,3,FALSE)</f>
        <v>#N/A</v>
      </c>
      <c r="AO32" s="24" t="e">
        <f>VLOOKUP(AM32,'[3]Opciones Tratamiento'!$M$2:$O$37,2,FALSE)</f>
        <v>#N/A</v>
      </c>
      <c r="AP32" s="131" t="s">
        <v>447</v>
      </c>
      <c r="AQ32" s="23" t="str">
        <f t="shared" si="24"/>
        <v>Probabilidad</v>
      </c>
      <c r="AR32" s="25" t="s">
        <v>161</v>
      </c>
      <c r="AS32" s="25" t="s">
        <v>169</v>
      </c>
      <c r="AT32" s="26" t="str">
        <f t="shared" si="25"/>
        <v>40%</v>
      </c>
      <c r="AU32" s="25" t="s">
        <v>172</v>
      </c>
      <c r="AV32" s="25" t="s">
        <v>177</v>
      </c>
      <c r="AW32" s="25" t="s">
        <v>181</v>
      </c>
      <c r="AX32" s="27">
        <f>IFERROR(IF(AND(AQ31="Probabilidad",AQ32="Probabilidad"),(AZ31-(+AZ31*AT32)),IF(AQ32="Probabilidad",(M31-(+M31*AT32)),IF(AQ32="Impacto",AZ31,""))),"")</f>
        <v>0.14399999999999999</v>
      </c>
      <c r="AY32" s="28" t="str">
        <f t="shared" si="20"/>
        <v>Muy Baja</v>
      </c>
      <c r="AZ32" s="29">
        <f t="shared" si="21"/>
        <v>0.14399999999999999</v>
      </c>
      <c r="BA32" s="28" t="str">
        <f t="shared" ca="1" si="22"/>
        <v>Leve</v>
      </c>
      <c r="BB32" s="29">
        <f ca="1">IFERROR(IF(AND(AQ31="Impacto",AQ32="Impacto"),(BB31-(+BB31*AT32)),IF(AQ32="Impacto",($AJ$7-(+$AJ$7*AT32)),IF(AQ32="Probabilidad",BB31,""))),"")</f>
        <v>0.2</v>
      </c>
      <c r="BC32" s="30" t="str">
        <f t="shared" ca="1" si="23"/>
        <v>Bajo</v>
      </c>
      <c r="BD32" s="31" t="s">
        <v>186</v>
      </c>
      <c r="BE32" s="32"/>
      <c r="BF32" s="23"/>
      <c r="BG32" s="33"/>
      <c r="BH32" s="33"/>
      <c r="BI32" s="32"/>
      <c r="BJ32" s="136"/>
      <c r="BK32" s="143"/>
      <c r="BL32" s="143"/>
      <c r="BM32" s="143"/>
      <c r="BN32" s="143"/>
      <c r="BO32" s="143"/>
      <c r="BP32" s="143"/>
      <c r="BQ32" s="143"/>
      <c r="BR32" s="143"/>
      <c r="BS32" s="143"/>
      <c r="BT32" s="143"/>
      <c r="BU32" s="143"/>
      <c r="BV32" s="143"/>
      <c r="BW32" s="143"/>
      <c r="BX32" s="143"/>
      <c r="BY32" s="143"/>
      <c r="BZ32" s="143"/>
      <c r="CA32" s="143"/>
      <c r="CB32" s="143"/>
      <c r="CC32" s="143"/>
      <c r="CD32" s="143"/>
    </row>
    <row r="33" spans="1:82" ht="39" customHeight="1" x14ac:dyDescent="0.15">
      <c r="A33" s="185">
        <v>12</v>
      </c>
      <c r="B33" s="190" t="s">
        <v>440</v>
      </c>
      <c r="C33" s="190" t="s">
        <v>393</v>
      </c>
      <c r="D33" s="190" t="s">
        <v>391</v>
      </c>
      <c r="E33" s="192"/>
      <c r="F33" s="190" t="s">
        <v>448</v>
      </c>
      <c r="G33" s="190" t="s">
        <v>449</v>
      </c>
      <c r="H33" s="192" t="str">
        <f>_xlfn.CONCAT("Posibilidad de efecto dañoso ",IF(C33='[3]Opciones Tratamiento'!$E$2,"económica",IF(C33='[3]Opciones Tratamiento'!$E$4,"económica y reputacional",LOWER(C33)))," por ",LOWER(F33), ", debido a ",LOWER(G33))</f>
        <v>Posibilidad de efecto dañoso sobre recursos públicos por saldos o recursos a favor no cobrados, debido a debilidades en la gestión de cobros ante las  eps</v>
      </c>
      <c r="I33" s="190" t="s">
        <v>395</v>
      </c>
      <c r="J33" s="185" t="s">
        <v>224</v>
      </c>
      <c r="K33" s="185" t="s">
        <v>242</v>
      </c>
      <c r="L33" s="187" t="str">
        <f>IF(OR(K33='[3]Opciones Tratamiento'!$K$14,K33='[3]Opciones Tratamiento'!$K$15,K33='[3]Opciones Tratamiento'!$K$16),"Muy Baja",IF(OR(K33='[3]Opciones Tratamiento'!$K$10,K33='[3]Opciones Tratamiento'!$K$11,K33='[3]Opciones Tratamiento'!$K$12,K33='[3]Opciones Tratamiento'!$K$13),"Baja",IF(OR(K33='[3]Opciones Tratamiento'!$K$4,K33='[3]Opciones Tratamiento'!$K$5,K33='[3]Opciones Tratamiento'!$K$6,K33='[3]Opciones Tratamiento'!$K$7,K33='[3]Opciones Tratamiento'!$K$8,K33='[3]Opciones Tratamiento'!$K$9),"Media",IF(K33='[3]Opciones Tratamiento'!$K$3,"Alta",IF(OR(K33='[3]Opciones Tratamiento'!$K$2,K33='[3]Opciones Tratamiento'!$K$17),"Muy Alta")))))</f>
        <v>Baja</v>
      </c>
      <c r="M33" s="188">
        <f>IF(L33="","",IF(L33="Muy Baja",0.2,IF(L33="Baja",0.4,IF(L33="Media",0.6,IF(L33="Alta",0.8,IF(L33="Muy Alta",1,))))))</f>
        <v>0.4</v>
      </c>
      <c r="N33" s="188" t="s">
        <v>139</v>
      </c>
      <c r="O33" s="188" t="str">
        <f ca="1">IF(NOT(ISERROR(MATCH(N33,'[3]Tabla Impacto'!$B$221:$B$223,0))),'[3]Tabla Impacto'!$F$223&amp;"Por favor no seleccionar los criterios de impacto(Afectación Económica o presupuestal y Pérdida Reputacional)",N33)</f>
        <v xml:space="preserve">     Afectación menor a 10 SMLMV .</v>
      </c>
      <c r="P33" s="126"/>
      <c r="Q33" s="126"/>
      <c r="R33" s="126"/>
      <c r="S33" s="126"/>
      <c r="T33" s="126"/>
      <c r="U33" s="126"/>
      <c r="V33" s="126"/>
      <c r="W33" s="126"/>
      <c r="X33" s="126"/>
      <c r="Y33" s="126"/>
      <c r="Z33" s="126"/>
      <c r="AA33" s="126"/>
      <c r="AB33" s="126"/>
      <c r="AC33" s="126"/>
      <c r="AD33" s="126"/>
      <c r="AE33" s="126"/>
      <c r="AF33" s="126"/>
      <c r="AG33" s="126"/>
      <c r="AH33" s="126"/>
      <c r="AI33" s="187" t="str">
        <f ca="1">IF(OR(D33='[3]Opciones Tratamiento'!$H$2,D33='[3]Opciones Tratamiento'!$H$4),IF(OR(O33='[3]Tabla Impacto'!$C$11,O33='[3]Tabla Impacto'!$D$11),"Leve",IF(OR(O33='[3]Tabla Impacto'!$C$12,O33='[3]Tabla Impacto'!$D$12),"Menor",IF(OR(O33='[3]Tabla Impacto'!$C$13,O33='[3]Tabla Impacto'!$D$13),"Moderado",IF(OR(O33='[3]Tabla Impacto'!$C$14,O33='[3]Tabla Impacto'!$D$14),"Mayor",IF(OR(O33='[3]Tabla Impacto'!$C$15,O33='[3]Tabla Impacto'!$D$15),"Catastrófico",""))))),IF(D33='[3]Opciones Tratamiento'!$H$3,IF(COUNTIF('[3]Mapa final'!P42:AH42,"Si")&lt;=5,"Moderado",IF(AND(COUNTIF('[3]Mapa final'!P42:AH42,"Si")&gt;5,COUNTIF('[3]Mapa final'!P42:AH42,"Si")&lt;=10),"Mayor",IF(COUNTIF('[3]Mapa final'!P42:AH42,"Si")&gt;10,"Catastrófico","")))))</f>
        <v>Leve</v>
      </c>
      <c r="AJ33" s="188">
        <f ca="1">IF(AI33="","",IF(AI33="Leve",0.2,IF(AI33="Menor",0.4,IF(AI33="Moderado",0.6,IF(AI33="Mayor",0.8,IF(AI33="Catastrófico",1,))))))</f>
        <v>0.2</v>
      </c>
      <c r="AK33" s="189" t="str">
        <f ca="1">IF(OR(AND(L33="Muy Baja",AI33="Leve"),AND(L33="Muy Baja",AI33="Menor"),AND(L33="Baja",AI33="Leve")),"Bajo",IF(OR(AND(L33="Muy baja",AI33="Moderado"),AND(L33="Baja",AI33="Menor"),AND(L33="Baja",AI33="Moderado"),AND(L33="Media",AI33="Leve"),AND(L33="Media",AI33="Menor"),AND(L33="Media",AI33="Moderado"),AND(L33="Alta",AI33="Leve"),AND(L33="Alta",AI33="Menor")),"Moderado",IF(OR(AND(L33="Muy Baja",AI33="Mayor"),AND(L33="Baja",AI33="Mayor"),AND(L33="Media",AI33="Mayor"),AND(L33="Alta",AI33="Moderado"),AND(L33="Alta",AI33="Mayor"),AND(L33="Muy Alta",AI33="Leve"),AND(L33="Muy Alta",AI33="Menor"),AND(L33="Muy Alta",AI33="Moderado"),AND(L33="Muy Alta",AI33="Mayor")),"Alto",IF(OR(AND(L33="Muy Baja",AI33="Catastrófico"),AND(L33="Baja",AI33="Catastrófico"),AND(L33="Media",AI33="Catastrófico"),AND(L33="Alta",AI33="Catastrófico"),AND(L33="Muy Alta",AI33="Catastrófico")),"Extremo",""))))</f>
        <v>Bajo</v>
      </c>
      <c r="AL33" s="23">
        <v>1</v>
      </c>
      <c r="AM33" s="23"/>
      <c r="AN33" s="23" t="e">
        <f>VLOOKUP(AM33,'[3]Opciones Tratamiento'!$M$2:$O$37,3,FALSE)</f>
        <v>#N/A</v>
      </c>
      <c r="AO33" s="24" t="e">
        <f>VLOOKUP(AM33,'[3]Opciones Tratamiento'!$M$2:$O$37,2,FALSE)</f>
        <v>#N/A</v>
      </c>
      <c r="AP33" s="131" t="s">
        <v>450</v>
      </c>
      <c r="AQ33" s="23" t="str">
        <f t="shared" si="24"/>
        <v>Probabilidad</v>
      </c>
      <c r="AR33" s="25" t="s">
        <v>161</v>
      </c>
      <c r="AS33" s="25" t="s">
        <v>169</v>
      </c>
      <c r="AT33" s="26" t="str">
        <f t="shared" si="25"/>
        <v>40%</v>
      </c>
      <c r="AU33" s="25" t="s">
        <v>172</v>
      </c>
      <c r="AV33" s="25" t="s">
        <v>177</v>
      </c>
      <c r="AW33" s="25" t="s">
        <v>181</v>
      </c>
      <c r="AX33" s="27">
        <f>IFERROR(IF(AQ33="Probabilidad",(M33-(+M33*AT33)),IF(AQ33="Impacto",M33,"")),"")</f>
        <v>0.24</v>
      </c>
      <c r="AY33" s="28" t="str">
        <f t="shared" si="20"/>
        <v>Baja</v>
      </c>
      <c r="AZ33" s="29">
        <f t="shared" si="21"/>
        <v>0.24</v>
      </c>
      <c r="BA33" s="28" t="str">
        <f t="shared" ca="1" si="22"/>
        <v>Leve</v>
      </c>
      <c r="BB33" s="29">
        <f ca="1">IFERROR(IF(AQ33="Impacto",(AJ33-(+AJ33*AT33)),IF(AQ33="Probabilidad",AJ33,"")),"")</f>
        <v>0.2</v>
      </c>
      <c r="BC33" s="30" t="str">
        <f t="shared" ca="1" si="23"/>
        <v>Bajo</v>
      </c>
      <c r="BD33" s="31" t="s">
        <v>192</v>
      </c>
      <c r="BE33" s="32"/>
      <c r="BF33" s="23"/>
      <c r="BG33" s="33"/>
      <c r="BH33" s="33"/>
      <c r="BI33" s="32"/>
      <c r="BJ33" s="136"/>
      <c r="BK33" s="143"/>
      <c r="BL33" s="143"/>
      <c r="BM33" s="143"/>
      <c r="BN33" s="143"/>
      <c r="BO33" s="143"/>
      <c r="BP33" s="143"/>
      <c r="BQ33" s="143"/>
      <c r="BR33" s="143"/>
      <c r="BS33" s="143"/>
      <c r="BT33" s="143"/>
      <c r="BU33" s="143"/>
      <c r="BV33" s="143"/>
      <c r="BW33" s="143"/>
      <c r="BX33" s="143"/>
      <c r="BY33" s="143"/>
      <c r="BZ33" s="143"/>
      <c r="CA33" s="143"/>
      <c r="CB33" s="143"/>
      <c r="CC33" s="143"/>
      <c r="CD33" s="143"/>
    </row>
    <row r="34" spans="1:82" ht="39" customHeight="1" x14ac:dyDescent="0.15">
      <c r="A34" s="186"/>
      <c r="B34" s="191"/>
      <c r="C34" s="191"/>
      <c r="D34" s="191"/>
      <c r="E34" s="186"/>
      <c r="F34" s="191"/>
      <c r="G34" s="191"/>
      <c r="H34" s="186"/>
      <c r="I34" s="191"/>
      <c r="J34" s="186"/>
      <c r="K34" s="186"/>
      <c r="L34" s="186"/>
      <c r="M34" s="186"/>
      <c r="N34" s="186"/>
      <c r="O34" s="186"/>
      <c r="P34" s="126"/>
      <c r="Q34" s="126"/>
      <c r="R34" s="126"/>
      <c r="S34" s="126"/>
      <c r="T34" s="126"/>
      <c r="U34" s="126"/>
      <c r="V34" s="126"/>
      <c r="W34" s="126"/>
      <c r="X34" s="126"/>
      <c r="Y34" s="126"/>
      <c r="Z34" s="126"/>
      <c r="AA34" s="126"/>
      <c r="AB34" s="126"/>
      <c r="AC34" s="126"/>
      <c r="AD34" s="126"/>
      <c r="AE34" s="126"/>
      <c r="AF34" s="126"/>
      <c r="AG34" s="126"/>
      <c r="AH34" s="126"/>
      <c r="AI34" s="186"/>
      <c r="AJ34" s="186"/>
      <c r="AK34" s="186"/>
      <c r="AL34" s="23">
        <v>2</v>
      </c>
      <c r="AM34" s="23"/>
      <c r="AN34" s="23" t="e">
        <f>VLOOKUP(AM34,'[3]Opciones Tratamiento'!$M$2:$O$37,3,FALSE)</f>
        <v>#N/A</v>
      </c>
      <c r="AO34" s="24" t="e">
        <f>VLOOKUP(AM34,'[3]Opciones Tratamiento'!$M$2:$O$37,2,FALSE)</f>
        <v>#N/A</v>
      </c>
      <c r="AP34" s="131" t="s">
        <v>451</v>
      </c>
      <c r="AQ34" s="23" t="str">
        <f t="shared" si="24"/>
        <v>Probabilidad</v>
      </c>
      <c r="AR34" s="25" t="s">
        <v>161</v>
      </c>
      <c r="AS34" s="25" t="s">
        <v>169</v>
      </c>
      <c r="AT34" s="26" t="str">
        <f t="shared" si="25"/>
        <v>40%</v>
      </c>
      <c r="AU34" s="25" t="s">
        <v>172</v>
      </c>
      <c r="AV34" s="25" t="s">
        <v>177</v>
      </c>
      <c r="AW34" s="25" t="s">
        <v>181</v>
      </c>
      <c r="AX34" s="27">
        <f>IFERROR(IF(AND(AQ33="Probabilidad",AQ34="Probabilidad"),(AZ33-(+AZ33*AT34)),IF(AQ34="Probabilidad",(M33-(+M33*AT34)),IF(AQ34="Impacto",AZ33,""))),"")</f>
        <v>0.14399999999999999</v>
      </c>
      <c r="AY34" s="28" t="str">
        <f t="shared" si="20"/>
        <v>Muy Baja</v>
      </c>
      <c r="AZ34" s="29">
        <f t="shared" si="21"/>
        <v>0.14399999999999999</v>
      </c>
      <c r="BA34" s="28" t="str">
        <f t="shared" ca="1" si="22"/>
        <v>Leve</v>
      </c>
      <c r="BB34" s="29">
        <f ca="1">IFERROR(IF(AND(AQ33="Impacto",AQ34="Impacto"),(BB33-(+BB33*AT34)),IF(AQ34="Impacto",($AJ$7-(+$AJ$7*AT34)),IF(AQ34="Probabilidad",BB33,""))),"")</f>
        <v>0.2</v>
      </c>
      <c r="BC34" s="30" t="str">
        <f t="shared" ca="1" si="23"/>
        <v>Bajo</v>
      </c>
      <c r="BD34" s="31" t="s">
        <v>186</v>
      </c>
      <c r="BE34" s="32"/>
      <c r="BF34" s="23"/>
      <c r="BG34" s="33"/>
      <c r="BH34" s="33"/>
      <c r="BI34" s="32"/>
      <c r="BJ34" s="136"/>
      <c r="BK34" s="143"/>
      <c r="BL34" s="143"/>
      <c r="BM34" s="143"/>
      <c r="BN34" s="143"/>
      <c r="BO34" s="143"/>
      <c r="BP34" s="143"/>
      <c r="BQ34" s="143"/>
      <c r="BR34" s="143"/>
      <c r="BS34" s="143"/>
      <c r="BT34" s="143"/>
      <c r="BU34" s="143"/>
      <c r="BV34" s="143"/>
      <c r="BW34" s="143"/>
      <c r="BX34" s="143"/>
      <c r="BY34" s="143"/>
      <c r="BZ34" s="143"/>
      <c r="CA34" s="143"/>
      <c r="CB34" s="143"/>
      <c r="CC34" s="143"/>
      <c r="CD34" s="143"/>
    </row>
    <row r="35" spans="1:82" ht="39" customHeight="1" x14ac:dyDescent="0.15">
      <c r="A35" s="186"/>
      <c r="B35" s="191"/>
      <c r="C35" s="191"/>
      <c r="D35" s="191"/>
      <c r="E35" s="186"/>
      <c r="F35" s="191"/>
      <c r="G35" s="191"/>
      <c r="H35" s="186"/>
      <c r="I35" s="191"/>
      <c r="J35" s="186"/>
      <c r="K35" s="186"/>
      <c r="L35" s="186"/>
      <c r="M35" s="186"/>
      <c r="N35" s="186"/>
      <c r="O35" s="186"/>
      <c r="P35" s="126"/>
      <c r="Q35" s="126"/>
      <c r="R35" s="126"/>
      <c r="S35" s="126"/>
      <c r="T35" s="126"/>
      <c r="U35" s="126"/>
      <c r="V35" s="126"/>
      <c r="W35" s="126"/>
      <c r="X35" s="126"/>
      <c r="Y35" s="126"/>
      <c r="Z35" s="126"/>
      <c r="AA35" s="126"/>
      <c r="AB35" s="126"/>
      <c r="AC35" s="126"/>
      <c r="AD35" s="126"/>
      <c r="AE35" s="126"/>
      <c r="AF35" s="126"/>
      <c r="AG35" s="126"/>
      <c r="AH35" s="126"/>
      <c r="AI35" s="186"/>
      <c r="AJ35" s="186"/>
      <c r="AK35" s="186"/>
      <c r="AL35" s="23">
        <v>3</v>
      </c>
      <c r="AM35" s="23"/>
      <c r="AN35" s="23" t="e">
        <f>VLOOKUP(AM35,'[3]Opciones Tratamiento'!$M$2:$O$37,3,FALSE)</f>
        <v>#N/A</v>
      </c>
      <c r="AO35" s="24" t="e">
        <f>VLOOKUP(AM35,'[3]Opciones Tratamiento'!$M$2:$O$37,2,FALSE)</f>
        <v>#N/A</v>
      </c>
      <c r="AP35" s="131" t="s">
        <v>452</v>
      </c>
      <c r="AQ35" s="23" t="str">
        <f t="shared" si="24"/>
        <v>Probabilidad</v>
      </c>
      <c r="AR35" s="25" t="s">
        <v>163</v>
      </c>
      <c r="AS35" s="25" t="s">
        <v>169</v>
      </c>
      <c r="AT35" s="26" t="str">
        <f t="shared" si="25"/>
        <v>30%</v>
      </c>
      <c r="AU35" s="25" t="s">
        <v>172</v>
      </c>
      <c r="AV35" s="25" t="s">
        <v>177</v>
      </c>
      <c r="AW35" s="25" t="s">
        <v>181</v>
      </c>
      <c r="AX35" s="27">
        <f>IFERROR(IF(AND(AQ34="Probabilidad",AQ35="Probabilidad"),(AZ34-(+AZ34*AT35)),IF(AND(AQ34="Impacto",AQ35="Probabilidad"),(AZ33-(+AZ33*AT35)),IF(AQ35="Impacto",AZ34,""))),"")</f>
        <v>0.1008</v>
      </c>
      <c r="AY35" s="28" t="str">
        <f t="shared" si="20"/>
        <v>Muy Baja</v>
      </c>
      <c r="AZ35" s="29">
        <f t="shared" si="21"/>
        <v>0.1008</v>
      </c>
      <c r="BA35" s="28" t="str">
        <f t="shared" ca="1" si="22"/>
        <v>Leve</v>
      </c>
      <c r="BB35" s="29">
        <f ca="1">IFERROR(IF(AND(AQ34="Impacto",AQ35="Impacto"),(BB34-(+BB34*AT35)),IF(AND(AQ34="Probabilidad",AQ35="Impacto"),(BB33-(+BB33*AT35)),IF(AQ35="Probabilidad",BB34,""))),"")</f>
        <v>0.2</v>
      </c>
      <c r="BC35" s="30" t="str">
        <f t="shared" ca="1" si="23"/>
        <v>Bajo</v>
      </c>
      <c r="BD35" s="31" t="s">
        <v>186</v>
      </c>
      <c r="BE35" s="32"/>
      <c r="BF35" s="23"/>
      <c r="BG35" s="33"/>
      <c r="BH35" s="33"/>
      <c r="BI35" s="32"/>
      <c r="BJ35" s="136"/>
      <c r="BK35" s="143"/>
      <c r="BL35" s="143"/>
      <c r="BM35" s="143"/>
      <c r="BN35" s="143"/>
      <c r="BO35" s="143"/>
      <c r="BP35" s="143"/>
      <c r="BQ35" s="143"/>
      <c r="BR35" s="143"/>
      <c r="BS35" s="143"/>
      <c r="BT35" s="143"/>
      <c r="BU35" s="143"/>
      <c r="BV35" s="143"/>
      <c r="BW35" s="143"/>
      <c r="BX35" s="143"/>
      <c r="BY35" s="143"/>
      <c r="BZ35" s="143"/>
      <c r="CA35" s="143"/>
      <c r="CB35" s="143"/>
      <c r="CC35" s="143"/>
      <c r="CD35" s="143"/>
    </row>
    <row r="36" spans="1:82" ht="16.5" customHeight="1" x14ac:dyDescent="0.15">
      <c r="A36" s="35"/>
      <c r="B36" s="35"/>
      <c r="C36" s="35"/>
      <c r="D36" s="35"/>
      <c r="E36" s="35"/>
      <c r="F36" s="35"/>
      <c r="G36" s="35"/>
      <c r="H36" s="34"/>
      <c r="I36" s="36"/>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137"/>
      <c r="BK36" s="143"/>
      <c r="BL36" s="143"/>
      <c r="BM36" s="143"/>
      <c r="BN36" s="143"/>
      <c r="BO36" s="143"/>
      <c r="BP36" s="143"/>
      <c r="BQ36" s="143"/>
      <c r="BR36" s="143"/>
      <c r="BS36" s="143"/>
      <c r="BT36" s="143"/>
      <c r="BU36" s="143"/>
      <c r="BV36" s="143"/>
      <c r="BW36" s="143"/>
      <c r="BX36" s="143"/>
      <c r="BY36" s="143"/>
      <c r="BZ36" s="143"/>
      <c r="CA36" s="143"/>
      <c r="CB36" s="143"/>
      <c r="CC36" s="143"/>
      <c r="CD36" s="143"/>
    </row>
    <row r="37" spans="1:82" ht="16.5" customHeight="1" x14ac:dyDescent="0.15">
      <c r="A37" s="35"/>
      <c r="B37" s="35"/>
      <c r="C37" s="35"/>
      <c r="D37" s="35"/>
      <c r="E37" s="35"/>
      <c r="F37" s="35"/>
      <c r="G37" s="35"/>
      <c r="H37" s="34"/>
      <c r="I37" s="36"/>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137"/>
      <c r="BK37" s="143"/>
      <c r="BL37" s="143"/>
      <c r="BM37" s="143"/>
      <c r="BN37" s="143"/>
      <c r="BO37" s="143"/>
      <c r="BP37" s="143"/>
      <c r="BQ37" s="143"/>
      <c r="BR37" s="143"/>
      <c r="BS37" s="143"/>
      <c r="BT37" s="143"/>
      <c r="BU37" s="143"/>
      <c r="BV37" s="143"/>
      <c r="BW37" s="143"/>
      <c r="BX37" s="143"/>
      <c r="BY37" s="143"/>
      <c r="BZ37" s="143"/>
      <c r="CA37" s="143"/>
      <c r="CB37" s="143"/>
      <c r="CC37" s="143"/>
      <c r="CD37" s="143"/>
    </row>
    <row r="38" spans="1:82" ht="16.5" customHeight="1" x14ac:dyDescent="0.15">
      <c r="A38" s="35"/>
      <c r="B38" s="35"/>
      <c r="C38" s="35"/>
      <c r="D38" s="35"/>
      <c r="E38" s="35"/>
      <c r="F38" s="35"/>
      <c r="G38" s="35"/>
      <c r="H38" s="34"/>
      <c r="I38" s="36"/>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137"/>
      <c r="BK38" s="143"/>
      <c r="BL38" s="143"/>
      <c r="BM38" s="143"/>
      <c r="BN38" s="143"/>
      <c r="BO38" s="143"/>
      <c r="BP38" s="143"/>
      <c r="BQ38" s="143"/>
      <c r="BR38" s="143"/>
      <c r="BS38" s="143"/>
      <c r="BT38" s="143"/>
      <c r="BU38" s="143"/>
      <c r="BV38" s="143"/>
      <c r="BW38" s="143"/>
      <c r="BX38" s="143"/>
      <c r="BY38" s="143"/>
      <c r="BZ38" s="143"/>
      <c r="CA38" s="143"/>
      <c r="CB38" s="143"/>
      <c r="CC38" s="143"/>
      <c r="CD38" s="143"/>
    </row>
    <row r="39" spans="1:82" ht="16.5" customHeight="1" x14ac:dyDescent="0.15">
      <c r="A39" s="35"/>
      <c r="B39" s="35"/>
      <c r="C39" s="35"/>
      <c r="D39" s="35"/>
      <c r="E39" s="35"/>
      <c r="F39" s="35"/>
      <c r="G39" s="35"/>
      <c r="H39" s="34"/>
      <c r="I39" s="36"/>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137"/>
      <c r="BK39" s="143"/>
      <c r="BL39" s="143"/>
      <c r="BM39" s="143"/>
      <c r="BN39" s="143"/>
      <c r="BO39" s="143"/>
      <c r="BP39" s="143"/>
      <c r="BQ39" s="143"/>
      <c r="BR39" s="143"/>
      <c r="BS39" s="143"/>
      <c r="BT39" s="143"/>
      <c r="BU39" s="143"/>
      <c r="BV39" s="143"/>
      <c r="BW39" s="143"/>
      <c r="BX39" s="143"/>
      <c r="BY39" s="143"/>
      <c r="BZ39" s="143"/>
      <c r="CA39" s="143"/>
      <c r="CB39" s="143"/>
      <c r="CC39" s="143"/>
      <c r="CD39" s="143"/>
    </row>
    <row r="40" spans="1:82" ht="16.5" customHeight="1" x14ac:dyDescent="0.15">
      <c r="A40" s="35"/>
      <c r="B40" s="35"/>
      <c r="C40" s="35"/>
      <c r="D40" s="35"/>
      <c r="E40" s="35"/>
      <c r="F40" s="35"/>
      <c r="G40" s="35"/>
      <c r="H40" s="34"/>
      <c r="I40" s="36"/>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137"/>
      <c r="BK40" s="143"/>
      <c r="BL40" s="143"/>
      <c r="BM40" s="143"/>
      <c r="BN40" s="143"/>
      <c r="BO40" s="143"/>
      <c r="BP40" s="143"/>
      <c r="BQ40" s="143"/>
      <c r="BR40" s="143"/>
      <c r="BS40" s="143"/>
      <c r="BT40" s="143"/>
      <c r="BU40" s="143"/>
      <c r="BV40" s="143"/>
      <c r="BW40" s="143"/>
      <c r="BX40" s="143"/>
      <c r="BY40" s="143"/>
      <c r="BZ40" s="143"/>
      <c r="CA40" s="143"/>
      <c r="CB40" s="143"/>
      <c r="CC40" s="143"/>
      <c r="CD40" s="143"/>
    </row>
    <row r="41" spans="1:82" ht="16.5" customHeight="1" x14ac:dyDescent="0.15">
      <c r="A41" s="35"/>
      <c r="B41" s="35"/>
      <c r="C41" s="35"/>
      <c r="D41" s="35"/>
      <c r="E41" s="35"/>
      <c r="F41" s="35"/>
      <c r="G41" s="35"/>
      <c r="H41" s="34"/>
      <c r="I41" s="36"/>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137"/>
      <c r="BK41" s="143"/>
      <c r="BL41" s="143"/>
      <c r="BM41" s="143"/>
      <c r="BN41" s="143"/>
      <c r="BO41" s="143"/>
      <c r="BP41" s="143"/>
      <c r="BQ41" s="143"/>
      <c r="BR41" s="143"/>
      <c r="BS41" s="143"/>
      <c r="BT41" s="143"/>
      <c r="BU41" s="143"/>
      <c r="BV41" s="143"/>
      <c r="BW41" s="143"/>
      <c r="BX41" s="143"/>
      <c r="BY41" s="143"/>
      <c r="BZ41" s="143"/>
      <c r="CA41" s="143"/>
      <c r="CB41" s="143"/>
      <c r="CC41" s="143"/>
      <c r="CD41" s="143"/>
    </row>
    <row r="42" spans="1:82" ht="16.5" customHeight="1" x14ac:dyDescent="0.15">
      <c r="A42" s="35"/>
      <c r="B42" s="35"/>
      <c r="C42" s="35"/>
      <c r="D42" s="35"/>
      <c r="E42" s="35"/>
      <c r="F42" s="35"/>
      <c r="G42" s="35"/>
      <c r="H42" s="34"/>
      <c r="I42" s="36"/>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137"/>
      <c r="BK42" s="143"/>
      <c r="BL42" s="143"/>
      <c r="BM42" s="143"/>
      <c r="BN42" s="143"/>
      <c r="BO42" s="143"/>
      <c r="BP42" s="143"/>
      <c r="BQ42" s="143"/>
      <c r="BR42" s="143"/>
      <c r="BS42" s="143"/>
      <c r="BT42" s="143"/>
      <c r="BU42" s="143"/>
      <c r="BV42" s="143"/>
      <c r="BW42" s="143"/>
      <c r="BX42" s="143"/>
      <c r="BY42" s="143"/>
      <c r="BZ42" s="143"/>
      <c r="CA42" s="143"/>
      <c r="CB42" s="143"/>
      <c r="CC42" s="143"/>
      <c r="CD42" s="143"/>
    </row>
    <row r="43" spans="1:82" ht="16.5" customHeight="1" x14ac:dyDescent="0.15">
      <c r="A43" s="35"/>
      <c r="B43" s="35"/>
      <c r="C43" s="35"/>
      <c r="D43" s="35"/>
      <c r="E43" s="35"/>
      <c r="F43" s="35"/>
      <c r="G43" s="35"/>
      <c r="H43" s="34"/>
      <c r="I43" s="36"/>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137"/>
      <c r="BK43" s="143"/>
      <c r="BL43" s="143"/>
      <c r="BM43" s="143"/>
      <c r="BN43" s="143"/>
      <c r="BO43" s="143"/>
      <c r="BP43" s="143"/>
      <c r="BQ43" s="143"/>
      <c r="BR43" s="143"/>
      <c r="BS43" s="143"/>
      <c r="BT43" s="143"/>
      <c r="BU43" s="143"/>
      <c r="BV43" s="143"/>
      <c r="BW43" s="143"/>
      <c r="BX43" s="143"/>
      <c r="BY43" s="143"/>
      <c r="BZ43" s="143"/>
      <c r="CA43" s="143"/>
      <c r="CB43" s="143"/>
      <c r="CC43" s="143"/>
      <c r="CD43" s="143"/>
    </row>
    <row r="44" spans="1:82" ht="16.5" customHeight="1" x14ac:dyDescent="0.15">
      <c r="A44" s="35"/>
      <c r="B44" s="35"/>
      <c r="C44" s="35"/>
      <c r="D44" s="35"/>
      <c r="E44" s="35"/>
      <c r="F44" s="35"/>
      <c r="G44" s="35"/>
      <c r="H44" s="34"/>
      <c r="I44" s="36"/>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137"/>
      <c r="BK44" s="143"/>
      <c r="BL44" s="143"/>
      <c r="BM44" s="143"/>
      <c r="BN44" s="143"/>
      <c r="BO44" s="143"/>
      <c r="BP44" s="143"/>
      <c r="BQ44" s="143"/>
      <c r="BR44" s="143"/>
      <c r="BS44" s="143"/>
      <c r="BT44" s="143"/>
      <c r="BU44" s="143"/>
      <c r="BV44" s="143"/>
      <c r="BW44" s="143"/>
      <c r="BX44" s="143"/>
      <c r="BY44" s="143"/>
      <c r="BZ44" s="143"/>
      <c r="CA44" s="143"/>
      <c r="CB44" s="143"/>
      <c r="CC44" s="143"/>
      <c r="CD44" s="143"/>
    </row>
    <row r="45" spans="1:82" ht="16.5" customHeight="1" x14ac:dyDescent="0.15">
      <c r="A45" s="35"/>
      <c r="B45" s="35"/>
      <c r="C45" s="35"/>
      <c r="D45" s="35"/>
      <c r="E45" s="35"/>
      <c r="F45" s="35"/>
      <c r="G45" s="35"/>
      <c r="H45" s="34"/>
      <c r="I45" s="36"/>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137"/>
      <c r="BK45" s="143"/>
      <c r="BL45" s="143"/>
      <c r="BM45" s="143"/>
      <c r="BN45" s="143"/>
      <c r="BO45" s="143"/>
      <c r="BP45" s="143"/>
      <c r="BQ45" s="143"/>
      <c r="BR45" s="143"/>
      <c r="BS45" s="143"/>
      <c r="BT45" s="143"/>
      <c r="BU45" s="143"/>
      <c r="BV45" s="143"/>
      <c r="BW45" s="143"/>
      <c r="BX45" s="143"/>
      <c r="BY45" s="143"/>
      <c r="BZ45" s="143"/>
      <c r="CA45" s="143"/>
      <c r="CB45" s="143"/>
      <c r="CC45" s="143"/>
      <c r="CD45" s="143"/>
    </row>
    <row r="46" spans="1:82" ht="16.5" customHeight="1" x14ac:dyDescent="0.15">
      <c r="A46" s="35"/>
      <c r="B46" s="35"/>
      <c r="C46" s="35"/>
      <c r="D46" s="35"/>
      <c r="E46" s="35"/>
      <c r="F46" s="35"/>
      <c r="G46" s="35"/>
      <c r="H46" s="34"/>
      <c r="I46" s="3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137"/>
      <c r="BK46" s="143"/>
      <c r="BL46" s="143"/>
      <c r="BM46" s="143"/>
      <c r="BN46" s="143"/>
      <c r="BO46" s="143"/>
      <c r="BP46" s="143"/>
      <c r="BQ46" s="143"/>
      <c r="BR46" s="143"/>
      <c r="BS46" s="143"/>
      <c r="BT46" s="143"/>
      <c r="BU46" s="143"/>
      <c r="BV46" s="143"/>
      <c r="BW46" s="143"/>
      <c r="BX46" s="143"/>
      <c r="BY46" s="143"/>
      <c r="BZ46" s="143"/>
      <c r="CA46" s="143"/>
      <c r="CB46" s="143"/>
      <c r="CC46" s="143"/>
      <c r="CD46" s="143"/>
    </row>
    <row r="47" spans="1:82" ht="16.5" customHeight="1" x14ac:dyDescent="0.15">
      <c r="A47" s="35"/>
      <c r="B47" s="35"/>
      <c r="C47" s="35"/>
      <c r="D47" s="35"/>
      <c r="E47" s="35"/>
      <c r="F47" s="35"/>
      <c r="G47" s="35"/>
      <c r="H47" s="34"/>
      <c r="I47" s="36"/>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137"/>
      <c r="BK47" s="143"/>
      <c r="BL47" s="143"/>
      <c r="BM47" s="143"/>
      <c r="BN47" s="143"/>
      <c r="BO47" s="143"/>
      <c r="BP47" s="143"/>
      <c r="BQ47" s="143"/>
      <c r="BR47" s="143"/>
      <c r="BS47" s="143"/>
      <c r="BT47" s="143"/>
      <c r="BU47" s="143"/>
      <c r="BV47" s="143"/>
      <c r="BW47" s="143"/>
      <c r="BX47" s="143"/>
      <c r="BY47" s="143"/>
      <c r="BZ47" s="143"/>
      <c r="CA47" s="143"/>
      <c r="CB47" s="143"/>
      <c r="CC47" s="143"/>
      <c r="CD47" s="143"/>
    </row>
    <row r="48" spans="1:82" ht="16.5" customHeight="1" x14ac:dyDescent="0.15">
      <c r="A48" s="35"/>
      <c r="B48" s="35"/>
      <c r="C48" s="35"/>
      <c r="D48" s="35"/>
      <c r="E48" s="35"/>
      <c r="F48" s="35"/>
      <c r="G48" s="35"/>
      <c r="H48" s="34"/>
      <c r="I48" s="36"/>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137"/>
      <c r="BK48" s="143"/>
      <c r="BL48" s="143"/>
      <c r="BM48" s="143"/>
      <c r="BN48" s="143"/>
      <c r="BO48" s="143"/>
      <c r="BP48" s="143"/>
      <c r="BQ48" s="143"/>
      <c r="BR48" s="143"/>
      <c r="BS48" s="143"/>
      <c r="BT48" s="143"/>
      <c r="BU48" s="143"/>
      <c r="BV48" s="143"/>
      <c r="BW48" s="143"/>
      <c r="BX48" s="143"/>
      <c r="BY48" s="143"/>
      <c r="BZ48" s="143"/>
      <c r="CA48" s="143"/>
      <c r="CB48" s="143"/>
      <c r="CC48" s="143"/>
      <c r="CD48" s="143"/>
    </row>
    <row r="49" spans="1:82" ht="16.5" customHeight="1" x14ac:dyDescent="0.15">
      <c r="A49" s="35"/>
      <c r="B49" s="35"/>
      <c r="C49" s="35"/>
      <c r="D49" s="35"/>
      <c r="E49" s="35"/>
      <c r="F49" s="35"/>
      <c r="G49" s="35"/>
      <c r="H49" s="34"/>
      <c r="I49" s="3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137"/>
      <c r="BK49" s="143"/>
      <c r="BL49" s="143"/>
      <c r="BM49" s="143"/>
      <c r="BN49" s="143"/>
      <c r="BO49" s="143"/>
      <c r="BP49" s="143"/>
      <c r="BQ49" s="143"/>
      <c r="BR49" s="143"/>
      <c r="BS49" s="143"/>
      <c r="BT49" s="143"/>
      <c r="BU49" s="143"/>
      <c r="BV49" s="143"/>
      <c r="BW49" s="143"/>
      <c r="BX49" s="143"/>
      <c r="BY49" s="143"/>
      <c r="BZ49" s="143"/>
      <c r="CA49" s="143"/>
      <c r="CB49" s="143"/>
      <c r="CC49" s="143"/>
      <c r="CD49" s="143"/>
    </row>
    <row r="50" spans="1:82" ht="16.5" customHeight="1" x14ac:dyDescent="0.15">
      <c r="A50" s="35"/>
      <c r="B50" s="35"/>
      <c r="C50" s="35"/>
      <c r="D50" s="35"/>
      <c r="E50" s="35"/>
      <c r="F50" s="35"/>
      <c r="G50" s="35"/>
      <c r="H50" s="34"/>
      <c r="I50" s="36"/>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137"/>
      <c r="BK50" s="143"/>
      <c r="BL50" s="143"/>
      <c r="BM50" s="143"/>
      <c r="BN50" s="143"/>
      <c r="BO50" s="143"/>
      <c r="BP50" s="143"/>
      <c r="BQ50" s="143"/>
      <c r="BR50" s="143"/>
      <c r="BS50" s="143"/>
      <c r="BT50" s="143"/>
      <c r="BU50" s="143"/>
      <c r="BV50" s="143"/>
      <c r="BW50" s="143"/>
      <c r="BX50" s="143"/>
      <c r="BY50" s="143"/>
      <c r="BZ50" s="143"/>
      <c r="CA50" s="143"/>
      <c r="CB50" s="143"/>
      <c r="CC50" s="143"/>
      <c r="CD50" s="143"/>
    </row>
    <row r="51" spans="1:82" ht="16.5" customHeight="1" x14ac:dyDescent="0.15">
      <c r="A51" s="35"/>
      <c r="B51" s="35"/>
      <c r="C51" s="35"/>
      <c r="D51" s="35"/>
      <c r="E51" s="35"/>
      <c r="F51" s="35"/>
      <c r="G51" s="35"/>
      <c r="H51" s="34"/>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137"/>
      <c r="BK51" s="143"/>
      <c r="BL51" s="143"/>
      <c r="BM51" s="143"/>
      <c r="BN51" s="143"/>
      <c r="BO51" s="143"/>
      <c r="BP51" s="143"/>
      <c r="BQ51" s="143"/>
      <c r="BR51" s="143"/>
      <c r="BS51" s="143"/>
      <c r="BT51" s="143"/>
      <c r="BU51" s="143"/>
      <c r="BV51" s="143"/>
      <c r="BW51" s="143"/>
      <c r="BX51" s="143"/>
      <c r="BY51" s="143"/>
      <c r="BZ51" s="143"/>
      <c r="CA51" s="143"/>
      <c r="CB51" s="143"/>
      <c r="CC51" s="143"/>
      <c r="CD51" s="143"/>
    </row>
    <row r="52" spans="1:82" ht="16.5" customHeight="1" x14ac:dyDescent="0.15">
      <c r="A52" s="35"/>
      <c r="B52" s="35"/>
      <c r="C52" s="35"/>
      <c r="D52" s="35"/>
      <c r="E52" s="35"/>
      <c r="F52" s="35"/>
      <c r="G52" s="35"/>
      <c r="H52" s="34"/>
      <c r="I52" s="36"/>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137"/>
      <c r="BK52" s="143"/>
      <c r="BL52" s="143"/>
      <c r="BM52" s="143"/>
      <c r="BN52" s="143"/>
      <c r="BO52" s="143"/>
      <c r="BP52" s="143"/>
      <c r="BQ52" s="143"/>
      <c r="BR52" s="143"/>
      <c r="BS52" s="143"/>
      <c r="BT52" s="143"/>
      <c r="BU52" s="143"/>
      <c r="BV52" s="143"/>
      <c r="BW52" s="143"/>
      <c r="BX52" s="143"/>
      <c r="BY52" s="143"/>
      <c r="BZ52" s="143"/>
      <c r="CA52" s="143"/>
      <c r="CB52" s="143"/>
      <c r="CC52" s="143"/>
      <c r="CD52" s="143"/>
    </row>
    <row r="53" spans="1:82" ht="16.5" customHeight="1" x14ac:dyDescent="0.15">
      <c r="A53" s="35"/>
      <c r="B53" s="35"/>
      <c r="C53" s="35"/>
      <c r="D53" s="35"/>
      <c r="E53" s="35"/>
      <c r="F53" s="35"/>
      <c r="G53" s="35"/>
      <c r="H53" s="34"/>
      <c r="I53" s="36"/>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137"/>
      <c r="BK53" s="143"/>
      <c r="BL53" s="143"/>
      <c r="BM53" s="143"/>
      <c r="BN53" s="143"/>
      <c r="BO53" s="143"/>
      <c r="BP53" s="143"/>
      <c r="BQ53" s="143"/>
      <c r="BR53" s="143"/>
      <c r="BS53" s="143"/>
      <c r="BT53" s="143"/>
      <c r="BU53" s="143"/>
      <c r="BV53" s="143"/>
      <c r="BW53" s="143"/>
      <c r="BX53" s="143"/>
      <c r="BY53" s="143"/>
      <c r="BZ53" s="143"/>
      <c r="CA53" s="143"/>
      <c r="CB53" s="143"/>
      <c r="CC53" s="143"/>
      <c r="CD53" s="143"/>
    </row>
    <row r="54" spans="1:82" ht="16.5" customHeight="1" x14ac:dyDescent="0.15">
      <c r="A54" s="35"/>
      <c r="B54" s="35"/>
      <c r="C54" s="35"/>
      <c r="D54" s="35"/>
      <c r="E54" s="35"/>
      <c r="F54" s="35"/>
      <c r="G54" s="35"/>
      <c r="H54" s="34"/>
      <c r="I54" s="36"/>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137"/>
      <c r="BK54" s="143"/>
      <c r="BL54" s="143"/>
      <c r="BM54" s="143"/>
      <c r="BN54" s="143"/>
      <c r="BO54" s="143"/>
      <c r="BP54" s="143"/>
      <c r="BQ54" s="143"/>
      <c r="BR54" s="143"/>
      <c r="BS54" s="143"/>
      <c r="BT54" s="143"/>
      <c r="BU54" s="143"/>
      <c r="BV54" s="143"/>
      <c r="BW54" s="143"/>
      <c r="BX54" s="143"/>
      <c r="BY54" s="143"/>
      <c r="BZ54" s="143"/>
      <c r="CA54" s="143"/>
      <c r="CB54" s="143"/>
      <c r="CC54" s="143"/>
      <c r="CD54" s="143"/>
    </row>
    <row r="55" spans="1:82" ht="16.5" customHeight="1" x14ac:dyDescent="0.15">
      <c r="A55" s="35"/>
      <c r="B55" s="35"/>
      <c r="C55" s="35"/>
      <c r="D55" s="35"/>
      <c r="E55" s="35"/>
      <c r="F55" s="35"/>
      <c r="G55" s="35"/>
      <c r="H55" s="34"/>
      <c r="I55" s="36"/>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137"/>
      <c r="BK55" s="143"/>
      <c r="BL55" s="143"/>
      <c r="BM55" s="143"/>
      <c r="BN55" s="143"/>
      <c r="BO55" s="143"/>
      <c r="BP55" s="143"/>
      <c r="BQ55" s="143"/>
      <c r="BR55" s="143"/>
      <c r="BS55" s="143"/>
      <c r="BT55" s="143"/>
      <c r="BU55" s="143"/>
      <c r="BV55" s="143"/>
      <c r="BW55" s="143"/>
      <c r="BX55" s="143"/>
      <c r="BY55" s="143"/>
      <c r="BZ55" s="143"/>
      <c r="CA55" s="143"/>
      <c r="CB55" s="143"/>
      <c r="CC55" s="143"/>
      <c r="CD55" s="143"/>
    </row>
    <row r="56" spans="1:82" ht="16.5" customHeight="1" x14ac:dyDescent="0.15">
      <c r="A56" s="35"/>
      <c r="B56" s="35"/>
      <c r="C56" s="35"/>
      <c r="D56" s="35"/>
      <c r="E56" s="35"/>
      <c r="F56" s="35"/>
      <c r="G56" s="35"/>
      <c r="H56" s="34"/>
      <c r="I56" s="36"/>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137"/>
      <c r="BK56" s="143"/>
      <c r="BL56" s="143"/>
      <c r="BM56" s="143"/>
      <c r="BN56" s="143"/>
      <c r="BO56" s="143"/>
      <c r="BP56" s="143"/>
      <c r="BQ56" s="143"/>
      <c r="BR56" s="143"/>
      <c r="BS56" s="143"/>
      <c r="BT56" s="143"/>
      <c r="BU56" s="143"/>
      <c r="BV56" s="143"/>
      <c r="BW56" s="143"/>
      <c r="BX56" s="143"/>
      <c r="BY56" s="143"/>
      <c r="BZ56" s="143"/>
      <c r="CA56" s="143"/>
      <c r="CB56" s="143"/>
      <c r="CC56" s="143"/>
      <c r="CD56" s="143"/>
    </row>
    <row r="57" spans="1:82" ht="16.5" customHeight="1" x14ac:dyDescent="0.15">
      <c r="A57" s="35"/>
      <c r="B57" s="35"/>
      <c r="C57" s="35"/>
      <c r="D57" s="35"/>
      <c r="E57" s="35"/>
      <c r="F57" s="35"/>
      <c r="G57" s="35"/>
      <c r="H57" s="34"/>
      <c r="I57" s="36"/>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137"/>
      <c r="BK57" s="143"/>
      <c r="BL57" s="143"/>
      <c r="BM57" s="143"/>
      <c r="BN57" s="143"/>
      <c r="BO57" s="143"/>
      <c r="BP57" s="143"/>
      <c r="BQ57" s="143"/>
      <c r="BR57" s="143"/>
      <c r="BS57" s="143"/>
      <c r="BT57" s="143"/>
      <c r="BU57" s="143"/>
      <c r="BV57" s="143"/>
      <c r="BW57" s="143"/>
      <c r="BX57" s="143"/>
      <c r="BY57" s="143"/>
      <c r="BZ57" s="143"/>
      <c r="CA57" s="143"/>
      <c r="CB57" s="143"/>
      <c r="CC57" s="143"/>
      <c r="CD57" s="143"/>
    </row>
    <row r="58" spans="1:82" ht="16.5" customHeight="1" x14ac:dyDescent="0.15">
      <c r="A58" s="35"/>
      <c r="B58" s="35"/>
      <c r="C58" s="35"/>
      <c r="D58" s="35"/>
      <c r="E58" s="35"/>
      <c r="F58" s="35"/>
      <c r="G58" s="35"/>
      <c r="H58" s="34"/>
      <c r="I58" s="36"/>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137"/>
      <c r="BK58" s="143"/>
      <c r="BL58" s="143"/>
      <c r="BM58" s="143"/>
      <c r="BN58" s="143"/>
      <c r="BO58" s="143"/>
      <c r="BP58" s="143"/>
      <c r="BQ58" s="143"/>
      <c r="BR58" s="143"/>
      <c r="BS58" s="143"/>
      <c r="BT58" s="143"/>
      <c r="BU58" s="143"/>
      <c r="BV58" s="143"/>
      <c r="BW58" s="143"/>
      <c r="BX58" s="143"/>
      <c r="BY58" s="143"/>
      <c r="BZ58" s="143"/>
      <c r="CA58" s="143"/>
      <c r="CB58" s="143"/>
      <c r="CC58" s="143"/>
      <c r="CD58" s="143"/>
    </row>
    <row r="59" spans="1:82" ht="16.5" customHeight="1" x14ac:dyDescent="0.15">
      <c r="A59" s="35"/>
      <c r="B59" s="35"/>
      <c r="C59" s="35"/>
      <c r="D59" s="35"/>
      <c r="E59" s="35"/>
      <c r="F59" s="35"/>
      <c r="G59" s="35"/>
      <c r="H59" s="34"/>
      <c r="I59" s="36"/>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137"/>
      <c r="BK59" s="143"/>
      <c r="BL59" s="143"/>
      <c r="BM59" s="143"/>
      <c r="BN59" s="143"/>
      <c r="BO59" s="143"/>
      <c r="BP59" s="143"/>
      <c r="BQ59" s="143"/>
      <c r="BR59" s="143"/>
      <c r="BS59" s="143"/>
      <c r="BT59" s="143"/>
      <c r="BU59" s="143"/>
      <c r="BV59" s="143"/>
      <c r="BW59" s="143"/>
      <c r="BX59" s="143"/>
      <c r="BY59" s="143"/>
      <c r="BZ59" s="143"/>
      <c r="CA59" s="143"/>
      <c r="CB59" s="143"/>
      <c r="CC59" s="143"/>
      <c r="CD59" s="143"/>
    </row>
    <row r="60" spans="1:82" ht="16.5" customHeight="1" x14ac:dyDescent="0.15">
      <c r="A60" s="35"/>
      <c r="B60" s="35"/>
      <c r="C60" s="35"/>
      <c r="D60" s="35"/>
      <c r="E60" s="35"/>
      <c r="F60" s="35"/>
      <c r="G60" s="35"/>
      <c r="H60" s="34"/>
      <c r="I60" s="36"/>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137"/>
      <c r="BK60" s="143"/>
      <c r="BL60" s="143"/>
      <c r="BM60" s="143"/>
      <c r="BN60" s="143"/>
      <c r="BO60" s="143"/>
      <c r="BP60" s="143"/>
      <c r="BQ60" s="143"/>
      <c r="BR60" s="143"/>
      <c r="BS60" s="143"/>
      <c r="BT60" s="143"/>
      <c r="BU60" s="143"/>
      <c r="BV60" s="143"/>
      <c r="BW60" s="143"/>
      <c r="BX60" s="143"/>
      <c r="BY60" s="143"/>
      <c r="BZ60" s="143"/>
      <c r="CA60" s="143"/>
      <c r="CB60" s="143"/>
      <c r="CC60" s="143"/>
      <c r="CD60" s="143"/>
    </row>
    <row r="61" spans="1:82" ht="16.5" customHeight="1" x14ac:dyDescent="0.15">
      <c r="A61" s="35"/>
      <c r="B61" s="35"/>
      <c r="C61" s="35"/>
      <c r="D61" s="35"/>
      <c r="E61" s="35"/>
      <c r="F61" s="35"/>
      <c r="G61" s="35"/>
      <c r="H61" s="34"/>
      <c r="I61" s="36"/>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137"/>
      <c r="BK61" s="143"/>
      <c r="BL61" s="143"/>
      <c r="BM61" s="143"/>
      <c r="BN61" s="143"/>
      <c r="BO61" s="143"/>
      <c r="BP61" s="143"/>
      <c r="BQ61" s="143"/>
      <c r="BR61" s="143"/>
      <c r="BS61" s="143"/>
      <c r="BT61" s="143"/>
      <c r="BU61" s="143"/>
      <c r="BV61" s="143"/>
      <c r="BW61" s="143"/>
      <c r="BX61" s="143"/>
      <c r="BY61" s="143"/>
      <c r="BZ61" s="143"/>
      <c r="CA61" s="143"/>
      <c r="CB61" s="143"/>
      <c r="CC61" s="143"/>
      <c r="CD61" s="143"/>
    </row>
    <row r="62" spans="1:82" ht="16.5" customHeight="1" x14ac:dyDescent="0.15">
      <c r="A62" s="35"/>
      <c r="B62" s="35"/>
      <c r="C62" s="35"/>
      <c r="D62" s="35"/>
      <c r="E62" s="35"/>
      <c r="F62" s="35"/>
      <c r="G62" s="35"/>
      <c r="H62" s="34"/>
      <c r="I62" s="36"/>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137"/>
      <c r="BK62" s="143"/>
      <c r="BL62" s="143"/>
      <c r="BM62" s="143"/>
      <c r="BN62" s="143"/>
      <c r="BO62" s="143"/>
      <c r="BP62" s="143"/>
      <c r="BQ62" s="143"/>
      <c r="BR62" s="143"/>
      <c r="BS62" s="143"/>
      <c r="BT62" s="143"/>
      <c r="BU62" s="143"/>
      <c r="BV62" s="143"/>
      <c r="BW62" s="143"/>
      <c r="BX62" s="143"/>
      <c r="BY62" s="143"/>
      <c r="BZ62" s="143"/>
      <c r="CA62" s="143"/>
      <c r="CB62" s="143"/>
      <c r="CC62" s="143"/>
      <c r="CD62" s="143"/>
    </row>
    <row r="63" spans="1:82" ht="16.5" customHeight="1" x14ac:dyDescent="0.15">
      <c r="A63" s="35"/>
      <c r="B63" s="35"/>
      <c r="C63" s="35"/>
      <c r="D63" s="35"/>
      <c r="E63" s="35"/>
      <c r="F63" s="35"/>
      <c r="G63" s="35"/>
      <c r="H63" s="34"/>
      <c r="I63" s="36"/>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137"/>
      <c r="BK63" s="143"/>
      <c r="BL63" s="143"/>
      <c r="BM63" s="143"/>
      <c r="BN63" s="143"/>
      <c r="BO63" s="143"/>
      <c r="BP63" s="143"/>
      <c r="BQ63" s="143"/>
      <c r="BR63" s="143"/>
      <c r="BS63" s="143"/>
      <c r="BT63" s="143"/>
      <c r="BU63" s="143"/>
      <c r="BV63" s="143"/>
      <c r="BW63" s="143"/>
      <c r="BX63" s="143"/>
      <c r="BY63" s="143"/>
      <c r="BZ63" s="143"/>
      <c r="CA63" s="143"/>
      <c r="CB63" s="143"/>
      <c r="CC63" s="143"/>
      <c r="CD63" s="143"/>
    </row>
    <row r="64" spans="1:82" ht="16.5" customHeight="1" x14ac:dyDescent="0.15">
      <c r="A64" s="35"/>
      <c r="B64" s="35"/>
      <c r="C64" s="35"/>
      <c r="D64" s="35"/>
      <c r="E64" s="35"/>
      <c r="F64" s="35"/>
      <c r="G64" s="35"/>
      <c r="H64" s="34"/>
      <c r="I64" s="36"/>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137"/>
      <c r="BK64" s="143"/>
      <c r="BL64" s="143"/>
      <c r="BM64" s="143"/>
      <c r="BN64" s="143"/>
      <c r="BO64" s="143"/>
      <c r="BP64" s="143"/>
      <c r="BQ64" s="143"/>
      <c r="BR64" s="143"/>
      <c r="BS64" s="143"/>
      <c r="BT64" s="143"/>
      <c r="BU64" s="143"/>
      <c r="BV64" s="143"/>
      <c r="BW64" s="143"/>
      <c r="BX64" s="143"/>
      <c r="BY64" s="143"/>
      <c r="BZ64" s="143"/>
      <c r="CA64" s="143"/>
      <c r="CB64" s="143"/>
      <c r="CC64" s="143"/>
      <c r="CD64" s="143"/>
    </row>
    <row r="65" spans="1:82" ht="16.5" customHeight="1" x14ac:dyDescent="0.15">
      <c r="A65" s="35"/>
      <c r="B65" s="35"/>
      <c r="C65" s="35"/>
      <c r="D65" s="35"/>
      <c r="E65" s="35"/>
      <c r="F65" s="35"/>
      <c r="G65" s="35"/>
      <c r="H65" s="34"/>
      <c r="I65" s="36"/>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137"/>
      <c r="BK65" s="143"/>
      <c r="BL65" s="143"/>
      <c r="BM65" s="143"/>
      <c r="BN65" s="143"/>
      <c r="BO65" s="143"/>
      <c r="BP65" s="143"/>
      <c r="BQ65" s="143"/>
      <c r="BR65" s="143"/>
      <c r="BS65" s="143"/>
      <c r="BT65" s="143"/>
      <c r="BU65" s="143"/>
      <c r="BV65" s="143"/>
      <c r="BW65" s="143"/>
      <c r="BX65" s="143"/>
      <c r="BY65" s="143"/>
      <c r="BZ65" s="143"/>
      <c r="CA65" s="143"/>
      <c r="CB65" s="143"/>
      <c r="CC65" s="143"/>
      <c r="CD65" s="143"/>
    </row>
    <row r="66" spans="1:82" ht="16.5" customHeight="1" x14ac:dyDescent="0.15">
      <c r="A66" s="35"/>
      <c r="B66" s="35"/>
      <c r="C66" s="35"/>
      <c r="D66" s="35"/>
      <c r="E66" s="35"/>
      <c r="F66" s="35"/>
      <c r="G66" s="35"/>
      <c r="H66" s="34"/>
      <c r="I66" s="36"/>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137"/>
      <c r="BK66" s="143"/>
      <c r="BL66" s="143"/>
      <c r="BM66" s="143"/>
      <c r="BN66" s="143"/>
      <c r="BO66" s="143"/>
      <c r="BP66" s="143"/>
      <c r="BQ66" s="143"/>
      <c r="BR66" s="143"/>
      <c r="BS66" s="143"/>
      <c r="BT66" s="143"/>
      <c r="BU66" s="143"/>
      <c r="BV66" s="143"/>
      <c r="BW66" s="143"/>
      <c r="BX66" s="143"/>
      <c r="BY66" s="143"/>
      <c r="BZ66" s="143"/>
      <c r="CA66" s="143"/>
      <c r="CB66" s="143"/>
      <c r="CC66" s="143"/>
      <c r="CD66" s="143"/>
    </row>
    <row r="67" spans="1:82" ht="16.5" customHeight="1" x14ac:dyDescent="0.15">
      <c r="A67" s="35"/>
      <c r="B67" s="35"/>
      <c r="C67" s="35"/>
      <c r="D67" s="35"/>
      <c r="E67" s="35"/>
      <c r="F67" s="35"/>
      <c r="G67" s="35"/>
      <c r="H67" s="34"/>
      <c r="I67" s="36"/>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137"/>
      <c r="BK67" s="143"/>
      <c r="BL67" s="143"/>
      <c r="BM67" s="143"/>
      <c r="BN67" s="143"/>
      <c r="BO67" s="143"/>
      <c r="BP67" s="143"/>
      <c r="BQ67" s="143"/>
      <c r="BR67" s="143"/>
      <c r="BS67" s="143"/>
      <c r="BT67" s="143"/>
      <c r="BU67" s="143"/>
      <c r="BV67" s="143"/>
      <c r="BW67" s="143"/>
      <c r="BX67" s="143"/>
      <c r="BY67" s="143"/>
      <c r="BZ67" s="143"/>
      <c r="CA67" s="143"/>
      <c r="CB67" s="143"/>
      <c r="CC67" s="143"/>
      <c r="CD67" s="143"/>
    </row>
    <row r="68" spans="1:82" ht="16.5" customHeight="1" x14ac:dyDescent="0.15">
      <c r="A68" s="35"/>
      <c r="B68" s="35"/>
      <c r="C68" s="35"/>
      <c r="D68" s="35"/>
      <c r="E68" s="35"/>
      <c r="F68" s="35"/>
      <c r="G68" s="35"/>
      <c r="H68" s="34"/>
      <c r="I68" s="36"/>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137"/>
      <c r="BK68" s="143"/>
      <c r="BL68" s="143"/>
      <c r="BM68" s="143"/>
      <c r="BN68" s="143"/>
      <c r="BO68" s="143"/>
      <c r="BP68" s="143"/>
      <c r="BQ68" s="143"/>
      <c r="BR68" s="143"/>
      <c r="BS68" s="143"/>
      <c r="BT68" s="143"/>
      <c r="BU68" s="143"/>
      <c r="BV68" s="143"/>
      <c r="BW68" s="143"/>
      <c r="BX68" s="143"/>
      <c r="BY68" s="143"/>
      <c r="BZ68" s="143"/>
      <c r="CA68" s="143"/>
      <c r="CB68" s="143"/>
      <c r="CC68" s="143"/>
      <c r="CD68" s="143"/>
    </row>
    <row r="69" spans="1:82" ht="16.5" customHeight="1" x14ac:dyDescent="0.15">
      <c r="A69" s="35"/>
      <c r="B69" s="35"/>
      <c r="C69" s="35"/>
      <c r="D69" s="35"/>
      <c r="E69" s="35"/>
      <c r="F69" s="35"/>
      <c r="G69" s="35"/>
      <c r="H69" s="34"/>
      <c r="I69" s="36"/>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137"/>
      <c r="BK69" s="143"/>
      <c r="BL69" s="143"/>
      <c r="BM69" s="143"/>
      <c r="BN69" s="143"/>
      <c r="BO69" s="143"/>
      <c r="BP69" s="143"/>
      <c r="BQ69" s="143"/>
      <c r="BR69" s="143"/>
      <c r="BS69" s="143"/>
      <c r="BT69" s="143"/>
      <c r="BU69" s="143"/>
      <c r="BV69" s="143"/>
      <c r="BW69" s="143"/>
      <c r="BX69" s="143"/>
      <c r="BY69" s="143"/>
      <c r="BZ69" s="143"/>
      <c r="CA69" s="143"/>
      <c r="CB69" s="143"/>
      <c r="CC69" s="143"/>
      <c r="CD69" s="143"/>
    </row>
    <row r="70" spans="1:82" ht="16.5" customHeight="1" x14ac:dyDescent="0.15">
      <c r="A70" s="35"/>
      <c r="B70" s="35"/>
      <c r="C70" s="35"/>
      <c r="D70" s="35"/>
      <c r="E70" s="35"/>
      <c r="F70" s="35"/>
      <c r="G70" s="35"/>
      <c r="H70" s="34"/>
      <c r="I70" s="36"/>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137"/>
      <c r="BK70" s="143"/>
      <c r="BL70" s="143"/>
      <c r="BM70" s="143"/>
      <c r="BN70" s="143"/>
      <c r="BO70" s="143"/>
      <c r="BP70" s="143"/>
      <c r="BQ70" s="143"/>
      <c r="BR70" s="143"/>
      <c r="BS70" s="143"/>
      <c r="BT70" s="143"/>
      <c r="BU70" s="143"/>
      <c r="BV70" s="143"/>
      <c r="BW70" s="143"/>
      <c r="BX70" s="143"/>
      <c r="BY70" s="143"/>
      <c r="BZ70" s="143"/>
      <c r="CA70" s="143"/>
      <c r="CB70" s="143"/>
      <c r="CC70" s="143"/>
      <c r="CD70" s="143"/>
    </row>
    <row r="71" spans="1:82" ht="16.5" customHeight="1" x14ac:dyDescent="0.15">
      <c r="A71" s="35"/>
      <c r="B71" s="35"/>
      <c r="C71" s="35"/>
      <c r="D71" s="35"/>
      <c r="E71" s="35"/>
      <c r="F71" s="35"/>
      <c r="G71" s="35"/>
      <c r="H71" s="34"/>
      <c r="I71" s="36"/>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137"/>
      <c r="BK71" s="143"/>
      <c r="BL71" s="143"/>
      <c r="BM71" s="143"/>
      <c r="BN71" s="143"/>
      <c r="BO71" s="143"/>
      <c r="BP71" s="143"/>
      <c r="BQ71" s="143"/>
      <c r="BR71" s="143"/>
      <c r="BS71" s="143"/>
      <c r="BT71" s="143"/>
      <c r="BU71" s="143"/>
      <c r="BV71" s="143"/>
      <c r="BW71" s="143"/>
      <c r="BX71" s="143"/>
      <c r="BY71" s="143"/>
      <c r="BZ71" s="143"/>
      <c r="CA71" s="143"/>
      <c r="CB71" s="143"/>
      <c r="CC71" s="143"/>
      <c r="CD71" s="143"/>
    </row>
    <row r="72" spans="1:82" ht="16.5" customHeight="1" x14ac:dyDescent="0.15">
      <c r="A72" s="35"/>
      <c r="B72" s="35"/>
      <c r="C72" s="35"/>
      <c r="D72" s="35"/>
      <c r="E72" s="35"/>
      <c r="F72" s="35"/>
      <c r="G72" s="35"/>
      <c r="H72" s="34"/>
      <c r="I72" s="36"/>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137"/>
      <c r="BK72" s="143"/>
      <c r="BL72" s="143"/>
      <c r="BM72" s="143"/>
      <c r="BN72" s="143"/>
      <c r="BO72" s="143"/>
      <c r="BP72" s="143"/>
      <c r="BQ72" s="143"/>
      <c r="BR72" s="143"/>
      <c r="BS72" s="143"/>
      <c r="BT72" s="143"/>
      <c r="BU72" s="143"/>
      <c r="BV72" s="143"/>
      <c r="BW72" s="143"/>
      <c r="BX72" s="143"/>
      <c r="BY72" s="143"/>
      <c r="BZ72" s="143"/>
      <c r="CA72" s="143"/>
      <c r="CB72" s="143"/>
      <c r="CC72" s="143"/>
      <c r="CD72" s="143"/>
    </row>
    <row r="73" spans="1:82" ht="16.5" customHeight="1" x14ac:dyDescent="0.15">
      <c r="A73" s="35"/>
      <c r="B73" s="35"/>
      <c r="C73" s="35"/>
      <c r="D73" s="35"/>
      <c r="E73" s="35"/>
      <c r="F73" s="35"/>
      <c r="G73" s="35"/>
      <c r="H73" s="34"/>
      <c r="I73" s="3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137"/>
      <c r="BK73" s="143"/>
      <c r="BL73" s="143"/>
      <c r="BM73" s="143"/>
      <c r="BN73" s="143"/>
      <c r="BO73" s="143"/>
      <c r="BP73" s="143"/>
      <c r="BQ73" s="143"/>
      <c r="BR73" s="143"/>
      <c r="BS73" s="143"/>
      <c r="BT73" s="143"/>
      <c r="BU73" s="143"/>
      <c r="BV73" s="143"/>
      <c r="BW73" s="143"/>
      <c r="BX73" s="143"/>
      <c r="BY73" s="143"/>
      <c r="BZ73" s="143"/>
      <c r="CA73" s="143"/>
      <c r="CB73" s="143"/>
      <c r="CC73" s="143"/>
      <c r="CD73" s="143"/>
    </row>
    <row r="74" spans="1:82" ht="16.5" customHeight="1" x14ac:dyDescent="0.15">
      <c r="A74" s="35"/>
      <c r="B74" s="35"/>
      <c r="C74" s="35"/>
      <c r="D74" s="35"/>
      <c r="E74" s="35"/>
      <c r="F74" s="35"/>
      <c r="G74" s="35"/>
      <c r="H74" s="34"/>
      <c r="I74" s="36"/>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137"/>
      <c r="BK74" s="143"/>
      <c r="BL74" s="143"/>
      <c r="BM74" s="143"/>
      <c r="BN74" s="143"/>
      <c r="BO74" s="143"/>
      <c r="BP74" s="143"/>
      <c r="BQ74" s="143"/>
      <c r="BR74" s="143"/>
      <c r="BS74" s="143"/>
      <c r="BT74" s="143"/>
      <c r="BU74" s="143"/>
      <c r="BV74" s="143"/>
      <c r="BW74" s="143"/>
      <c r="BX74" s="143"/>
      <c r="BY74" s="143"/>
      <c r="BZ74" s="143"/>
      <c r="CA74" s="143"/>
      <c r="CB74" s="143"/>
      <c r="CC74" s="143"/>
      <c r="CD74" s="143"/>
    </row>
    <row r="75" spans="1:82" ht="16.5" customHeight="1" x14ac:dyDescent="0.15">
      <c r="A75" s="35"/>
      <c r="B75" s="35"/>
      <c r="C75" s="35"/>
      <c r="D75" s="35"/>
      <c r="E75" s="35"/>
      <c r="F75" s="35"/>
      <c r="G75" s="35"/>
      <c r="H75" s="34"/>
      <c r="I75" s="36"/>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137"/>
      <c r="BK75" s="143"/>
      <c r="BL75" s="143"/>
      <c r="BM75" s="143"/>
      <c r="BN75" s="143"/>
      <c r="BO75" s="143"/>
      <c r="BP75" s="143"/>
      <c r="BQ75" s="143"/>
      <c r="BR75" s="143"/>
      <c r="BS75" s="143"/>
      <c r="BT75" s="143"/>
      <c r="BU75" s="143"/>
      <c r="BV75" s="143"/>
      <c r="BW75" s="143"/>
      <c r="BX75" s="143"/>
      <c r="BY75" s="143"/>
      <c r="BZ75" s="143"/>
      <c r="CA75" s="143"/>
      <c r="CB75" s="143"/>
      <c r="CC75" s="143"/>
      <c r="CD75" s="143"/>
    </row>
    <row r="76" spans="1:82" ht="16.5" customHeight="1" x14ac:dyDescent="0.15">
      <c r="A76" s="35"/>
      <c r="B76" s="35"/>
      <c r="C76" s="35"/>
      <c r="D76" s="35"/>
      <c r="E76" s="35"/>
      <c r="F76" s="35"/>
      <c r="G76" s="35"/>
      <c r="H76" s="34"/>
      <c r="I76" s="36"/>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137"/>
      <c r="BK76" s="143"/>
      <c r="BL76" s="143"/>
      <c r="BM76" s="143"/>
      <c r="BN76" s="143"/>
      <c r="BO76" s="143"/>
      <c r="BP76" s="143"/>
      <c r="BQ76" s="143"/>
      <c r="BR76" s="143"/>
      <c r="BS76" s="143"/>
      <c r="BT76" s="143"/>
      <c r="BU76" s="143"/>
      <c r="BV76" s="143"/>
      <c r="BW76" s="143"/>
      <c r="BX76" s="143"/>
      <c r="BY76" s="143"/>
      <c r="BZ76" s="143"/>
      <c r="CA76" s="143"/>
      <c r="CB76" s="143"/>
      <c r="CC76" s="143"/>
      <c r="CD76" s="143"/>
    </row>
    <row r="77" spans="1:82" ht="16.5" customHeight="1" x14ac:dyDescent="0.15">
      <c r="A77" s="35"/>
      <c r="B77" s="35"/>
      <c r="C77" s="35"/>
      <c r="D77" s="35"/>
      <c r="E77" s="35"/>
      <c r="F77" s="35"/>
      <c r="G77" s="35"/>
      <c r="H77" s="34"/>
      <c r="I77" s="36"/>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137"/>
      <c r="BK77" s="143"/>
      <c r="BL77" s="143"/>
      <c r="BM77" s="143"/>
      <c r="BN77" s="143"/>
      <c r="BO77" s="143"/>
      <c r="BP77" s="143"/>
      <c r="BQ77" s="143"/>
      <c r="BR77" s="143"/>
      <c r="BS77" s="143"/>
      <c r="BT77" s="143"/>
      <c r="BU77" s="143"/>
      <c r="BV77" s="143"/>
      <c r="BW77" s="143"/>
      <c r="BX77" s="143"/>
      <c r="BY77" s="143"/>
      <c r="BZ77" s="143"/>
      <c r="CA77" s="143"/>
      <c r="CB77" s="143"/>
      <c r="CC77" s="143"/>
      <c r="CD77" s="143"/>
    </row>
    <row r="78" spans="1:82" ht="16.5" customHeight="1" x14ac:dyDescent="0.15">
      <c r="A78" s="35"/>
      <c r="B78" s="35"/>
      <c r="C78" s="35"/>
      <c r="D78" s="35"/>
      <c r="E78" s="35"/>
      <c r="F78" s="35"/>
      <c r="G78" s="35"/>
      <c r="H78" s="34"/>
      <c r="I78" s="36"/>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137"/>
      <c r="BK78" s="143"/>
      <c r="BL78" s="143"/>
      <c r="BM78" s="143"/>
      <c r="BN78" s="143"/>
      <c r="BO78" s="143"/>
      <c r="BP78" s="143"/>
      <c r="BQ78" s="143"/>
      <c r="BR78" s="143"/>
      <c r="BS78" s="143"/>
      <c r="BT78" s="143"/>
      <c r="BU78" s="143"/>
      <c r="BV78" s="143"/>
      <c r="BW78" s="143"/>
      <c r="BX78" s="143"/>
      <c r="BY78" s="143"/>
      <c r="BZ78" s="143"/>
      <c r="CA78" s="143"/>
      <c r="CB78" s="143"/>
      <c r="CC78" s="143"/>
      <c r="CD78" s="143"/>
    </row>
    <row r="79" spans="1:82" ht="16.5" customHeight="1" x14ac:dyDescent="0.15">
      <c r="A79" s="35"/>
      <c r="B79" s="35"/>
      <c r="C79" s="35"/>
      <c r="D79" s="35"/>
      <c r="E79" s="35"/>
      <c r="F79" s="35"/>
      <c r="G79" s="35"/>
      <c r="H79" s="34"/>
      <c r="I79" s="36"/>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137"/>
      <c r="BK79" s="143"/>
      <c r="BL79" s="143"/>
      <c r="BM79" s="143"/>
      <c r="BN79" s="143"/>
      <c r="BO79" s="143"/>
      <c r="BP79" s="143"/>
      <c r="BQ79" s="143"/>
      <c r="BR79" s="143"/>
      <c r="BS79" s="143"/>
      <c r="BT79" s="143"/>
      <c r="BU79" s="143"/>
      <c r="BV79" s="143"/>
      <c r="BW79" s="143"/>
      <c r="BX79" s="143"/>
      <c r="BY79" s="143"/>
      <c r="BZ79" s="143"/>
      <c r="CA79" s="143"/>
      <c r="CB79" s="143"/>
      <c r="CC79" s="143"/>
      <c r="CD79" s="143"/>
    </row>
    <row r="80" spans="1:82" ht="16.5" customHeight="1" x14ac:dyDescent="0.15">
      <c r="A80" s="35"/>
      <c r="B80" s="35"/>
      <c r="C80" s="35"/>
      <c r="D80" s="35"/>
      <c r="E80" s="35"/>
      <c r="F80" s="35"/>
      <c r="G80" s="35"/>
      <c r="H80" s="34"/>
      <c r="I80" s="36"/>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137"/>
      <c r="BK80" s="143"/>
      <c r="BL80" s="143"/>
      <c r="BM80" s="143"/>
      <c r="BN80" s="143"/>
      <c r="BO80" s="143"/>
      <c r="BP80" s="143"/>
      <c r="BQ80" s="143"/>
      <c r="BR80" s="143"/>
      <c r="BS80" s="143"/>
      <c r="BT80" s="143"/>
      <c r="BU80" s="143"/>
      <c r="BV80" s="143"/>
      <c r="BW80" s="143"/>
      <c r="BX80" s="143"/>
      <c r="BY80" s="143"/>
      <c r="BZ80" s="143"/>
      <c r="CA80" s="143"/>
      <c r="CB80" s="143"/>
      <c r="CC80" s="143"/>
      <c r="CD80" s="143"/>
    </row>
    <row r="81" spans="1:82" ht="16.5" customHeight="1" x14ac:dyDescent="0.15">
      <c r="A81" s="35"/>
      <c r="B81" s="35"/>
      <c r="C81" s="35"/>
      <c r="D81" s="35"/>
      <c r="E81" s="35"/>
      <c r="F81" s="35"/>
      <c r="G81" s="35"/>
      <c r="H81" s="34"/>
      <c r="I81" s="36"/>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137"/>
      <c r="BK81" s="143"/>
      <c r="BL81" s="143"/>
      <c r="BM81" s="143"/>
      <c r="BN81" s="143"/>
      <c r="BO81" s="143"/>
      <c r="BP81" s="143"/>
      <c r="BQ81" s="143"/>
      <c r="BR81" s="143"/>
      <c r="BS81" s="143"/>
      <c r="BT81" s="143"/>
      <c r="BU81" s="143"/>
      <c r="BV81" s="143"/>
      <c r="BW81" s="143"/>
      <c r="BX81" s="143"/>
      <c r="BY81" s="143"/>
      <c r="BZ81" s="143"/>
      <c r="CA81" s="143"/>
      <c r="CB81" s="143"/>
      <c r="CC81" s="143"/>
      <c r="CD81" s="143"/>
    </row>
    <row r="82" spans="1:82" ht="16.5" customHeight="1" x14ac:dyDescent="0.15">
      <c r="A82" s="35"/>
      <c r="B82" s="35"/>
      <c r="C82" s="35"/>
      <c r="D82" s="35"/>
      <c r="E82" s="35"/>
      <c r="F82" s="35"/>
      <c r="G82" s="35"/>
      <c r="H82" s="34"/>
      <c r="I82" s="36"/>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137"/>
      <c r="BK82" s="143"/>
      <c r="BL82" s="143"/>
      <c r="BM82" s="143"/>
      <c r="BN82" s="143"/>
      <c r="BO82" s="143"/>
      <c r="BP82" s="143"/>
      <c r="BQ82" s="143"/>
      <c r="BR82" s="143"/>
      <c r="BS82" s="143"/>
      <c r="BT82" s="143"/>
      <c r="BU82" s="143"/>
      <c r="BV82" s="143"/>
      <c r="BW82" s="143"/>
      <c r="BX82" s="143"/>
      <c r="BY82" s="143"/>
      <c r="BZ82" s="143"/>
      <c r="CA82" s="143"/>
      <c r="CB82" s="143"/>
      <c r="CC82" s="143"/>
      <c r="CD82" s="143"/>
    </row>
    <row r="83" spans="1:82" ht="16.5" customHeight="1" x14ac:dyDescent="0.15">
      <c r="A83" s="35"/>
      <c r="B83" s="35"/>
      <c r="C83" s="35"/>
      <c r="D83" s="35"/>
      <c r="E83" s="35"/>
      <c r="F83" s="35"/>
      <c r="G83" s="35"/>
      <c r="H83" s="34"/>
      <c r="I83" s="36"/>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137"/>
      <c r="BK83" s="143"/>
      <c r="BL83" s="143"/>
      <c r="BM83" s="143"/>
      <c r="BN83" s="143"/>
      <c r="BO83" s="143"/>
      <c r="BP83" s="143"/>
      <c r="BQ83" s="143"/>
      <c r="BR83" s="143"/>
      <c r="BS83" s="143"/>
      <c r="BT83" s="143"/>
      <c r="BU83" s="143"/>
      <c r="BV83" s="143"/>
      <c r="BW83" s="143"/>
      <c r="BX83" s="143"/>
      <c r="BY83" s="143"/>
      <c r="BZ83" s="143"/>
      <c r="CA83" s="143"/>
      <c r="CB83" s="143"/>
      <c r="CC83" s="143"/>
      <c r="CD83" s="143"/>
    </row>
    <row r="84" spans="1:82" ht="16.5" customHeight="1" x14ac:dyDescent="0.15">
      <c r="A84" s="35"/>
      <c r="B84" s="35"/>
      <c r="C84" s="35"/>
      <c r="D84" s="35"/>
      <c r="E84" s="35"/>
      <c r="F84" s="35"/>
      <c r="G84" s="35"/>
      <c r="H84" s="34"/>
      <c r="I84" s="36"/>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137"/>
      <c r="BK84" s="143"/>
      <c r="BL84" s="143"/>
      <c r="BM84" s="143"/>
      <c r="BN84" s="143"/>
      <c r="BO84" s="143"/>
      <c r="BP84" s="143"/>
      <c r="BQ84" s="143"/>
      <c r="BR84" s="143"/>
      <c r="BS84" s="143"/>
      <c r="BT84" s="143"/>
      <c r="BU84" s="143"/>
      <c r="BV84" s="143"/>
      <c r="BW84" s="143"/>
      <c r="BX84" s="143"/>
      <c r="BY84" s="143"/>
      <c r="BZ84" s="143"/>
      <c r="CA84" s="143"/>
      <c r="CB84" s="143"/>
      <c r="CC84" s="143"/>
      <c r="CD84" s="143"/>
    </row>
    <row r="85" spans="1:82" ht="16.5" customHeight="1" x14ac:dyDescent="0.15">
      <c r="A85" s="35"/>
      <c r="B85" s="35"/>
      <c r="C85" s="35"/>
      <c r="D85" s="35"/>
      <c r="E85" s="35"/>
      <c r="F85" s="35"/>
      <c r="G85" s="35"/>
      <c r="H85" s="34"/>
      <c r="I85" s="36"/>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137"/>
      <c r="BK85" s="143"/>
      <c r="BL85" s="143"/>
      <c r="BM85" s="143"/>
      <c r="BN85" s="143"/>
      <c r="BO85" s="143"/>
      <c r="BP85" s="143"/>
      <c r="BQ85" s="143"/>
      <c r="BR85" s="143"/>
      <c r="BS85" s="143"/>
      <c r="BT85" s="143"/>
      <c r="BU85" s="143"/>
      <c r="BV85" s="143"/>
      <c r="BW85" s="143"/>
      <c r="BX85" s="143"/>
      <c r="BY85" s="143"/>
      <c r="BZ85" s="143"/>
      <c r="CA85" s="143"/>
      <c r="CB85" s="143"/>
      <c r="CC85" s="143"/>
      <c r="CD85" s="143"/>
    </row>
    <row r="86" spans="1:82" ht="16.5" customHeight="1" x14ac:dyDescent="0.15">
      <c r="A86" s="35"/>
      <c r="B86" s="35"/>
      <c r="C86" s="35"/>
      <c r="D86" s="35"/>
      <c r="E86" s="35"/>
      <c r="F86" s="35"/>
      <c r="G86" s="35"/>
      <c r="H86" s="34"/>
      <c r="I86" s="36"/>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137"/>
      <c r="BK86" s="143"/>
      <c r="BL86" s="143"/>
      <c r="BM86" s="143"/>
      <c r="BN86" s="143"/>
      <c r="BO86" s="143"/>
      <c r="BP86" s="143"/>
      <c r="BQ86" s="143"/>
      <c r="BR86" s="143"/>
      <c r="BS86" s="143"/>
      <c r="BT86" s="143"/>
      <c r="BU86" s="143"/>
      <c r="BV86" s="143"/>
      <c r="BW86" s="143"/>
      <c r="BX86" s="143"/>
      <c r="BY86" s="143"/>
      <c r="BZ86" s="143"/>
      <c r="CA86" s="143"/>
      <c r="CB86" s="143"/>
      <c r="CC86" s="143"/>
      <c r="CD86" s="143"/>
    </row>
    <row r="87" spans="1:82" ht="16.5" customHeight="1" x14ac:dyDescent="0.15">
      <c r="A87" s="35"/>
      <c r="B87" s="35"/>
      <c r="C87" s="35"/>
      <c r="D87" s="35"/>
      <c r="E87" s="35"/>
      <c r="F87" s="35"/>
      <c r="G87" s="35"/>
      <c r="H87" s="34"/>
      <c r="I87" s="36"/>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137"/>
      <c r="BK87" s="143"/>
      <c r="BL87" s="143"/>
      <c r="BM87" s="143"/>
      <c r="BN87" s="143"/>
      <c r="BO87" s="143"/>
      <c r="BP87" s="143"/>
      <c r="BQ87" s="143"/>
      <c r="BR87" s="143"/>
      <c r="BS87" s="143"/>
      <c r="BT87" s="143"/>
      <c r="BU87" s="143"/>
      <c r="BV87" s="143"/>
      <c r="BW87" s="143"/>
      <c r="BX87" s="143"/>
      <c r="BY87" s="143"/>
      <c r="BZ87" s="143"/>
      <c r="CA87" s="143"/>
      <c r="CB87" s="143"/>
      <c r="CC87" s="143"/>
      <c r="CD87" s="143"/>
    </row>
    <row r="88" spans="1:82" ht="16.5" customHeight="1" x14ac:dyDescent="0.15">
      <c r="A88" s="35"/>
      <c r="B88" s="35"/>
      <c r="C88" s="35"/>
      <c r="D88" s="35"/>
      <c r="E88" s="35"/>
      <c r="F88" s="35"/>
      <c r="G88" s="35"/>
      <c r="H88" s="34"/>
      <c r="I88" s="36"/>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137"/>
      <c r="BK88" s="143"/>
      <c r="BL88" s="143"/>
      <c r="BM88" s="143"/>
      <c r="BN88" s="143"/>
      <c r="BO88" s="143"/>
      <c r="BP88" s="143"/>
      <c r="BQ88" s="143"/>
      <c r="BR88" s="143"/>
      <c r="BS88" s="143"/>
      <c r="BT88" s="143"/>
      <c r="BU88" s="143"/>
      <c r="BV88" s="143"/>
      <c r="BW88" s="143"/>
      <c r="BX88" s="143"/>
      <c r="BY88" s="143"/>
      <c r="BZ88" s="143"/>
      <c r="CA88" s="143"/>
      <c r="CB88" s="143"/>
      <c r="CC88" s="143"/>
      <c r="CD88" s="143"/>
    </row>
    <row r="89" spans="1:82" ht="16.5" customHeight="1" x14ac:dyDescent="0.15">
      <c r="A89" s="35"/>
      <c r="B89" s="35"/>
      <c r="C89" s="35"/>
      <c r="D89" s="35"/>
      <c r="E89" s="35"/>
      <c r="F89" s="35"/>
      <c r="G89" s="35"/>
      <c r="H89" s="34"/>
      <c r="I89" s="36"/>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137"/>
      <c r="BK89" s="143"/>
      <c r="BL89" s="143"/>
      <c r="BM89" s="143"/>
      <c r="BN89" s="143"/>
      <c r="BO89" s="143"/>
      <c r="BP89" s="143"/>
      <c r="BQ89" s="143"/>
      <c r="BR89" s="143"/>
      <c r="BS89" s="143"/>
      <c r="BT89" s="143"/>
      <c r="BU89" s="143"/>
      <c r="BV89" s="143"/>
      <c r="BW89" s="143"/>
      <c r="BX89" s="143"/>
      <c r="BY89" s="143"/>
      <c r="BZ89" s="143"/>
      <c r="CA89" s="143"/>
      <c r="CB89" s="143"/>
      <c r="CC89" s="143"/>
      <c r="CD89" s="143"/>
    </row>
    <row r="90" spans="1:82" ht="16.5" customHeight="1" x14ac:dyDescent="0.15">
      <c r="A90" s="35"/>
      <c r="B90" s="35"/>
      <c r="C90" s="35"/>
      <c r="D90" s="35"/>
      <c r="E90" s="35"/>
      <c r="F90" s="35"/>
      <c r="G90" s="35"/>
      <c r="H90" s="34"/>
      <c r="I90" s="36"/>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137"/>
      <c r="BK90" s="143"/>
      <c r="BL90" s="143"/>
      <c r="BM90" s="143"/>
      <c r="BN90" s="143"/>
      <c r="BO90" s="143"/>
      <c r="BP90" s="143"/>
      <c r="BQ90" s="143"/>
      <c r="BR90" s="143"/>
      <c r="BS90" s="143"/>
      <c r="BT90" s="143"/>
      <c r="BU90" s="143"/>
      <c r="BV90" s="143"/>
      <c r="BW90" s="143"/>
      <c r="BX90" s="143"/>
      <c r="BY90" s="143"/>
      <c r="BZ90" s="143"/>
      <c r="CA90" s="143"/>
      <c r="CB90" s="143"/>
      <c r="CC90" s="143"/>
      <c r="CD90" s="143"/>
    </row>
    <row r="91" spans="1:82" ht="16.5" customHeight="1" x14ac:dyDescent="0.15">
      <c r="A91" s="35"/>
      <c r="B91" s="35"/>
      <c r="C91" s="35"/>
      <c r="D91" s="35"/>
      <c r="E91" s="35"/>
      <c r="F91" s="35"/>
      <c r="G91" s="35"/>
      <c r="H91" s="34"/>
      <c r="I91" s="3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137"/>
      <c r="BK91" s="143"/>
      <c r="BL91" s="143"/>
      <c r="BM91" s="143"/>
      <c r="BN91" s="143"/>
      <c r="BO91" s="143"/>
      <c r="BP91" s="143"/>
      <c r="BQ91" s="143"/>
      <c r="BR91" s="143"/>
      <c r="BS91" s="143"/>
      <c r="BT91" s="143"/>
      <c r="BU91" s="143"/>
      <c r="BV91" s="143"/>
      <c r="BW91" s="143"/>
      <c r="BX91" s="143"/>
      <c r="BY91" s="143"/>
      <c r="BZ91" s="143"/>
      <c r="CA91" s="143"/>
      <c r="CB91" s="143"/>
      <c r="CC91" s="143"/>
      <c r="CD91" s="143"/>
    </row>
    <row r="92" spans="1:82" ht="16.5" customHeight="1" x14ac:dyDescent="0.15">
      <c r="A92" s="35"/>
      <c r="B92" s="35"/>
      <c r="C92" s="35"/>
      <c r="D92" s="35"/>
      <c r="E92" s="35"/>
      <c r="F92" s="35"/>
      <c r="G92" s="35"/>
      <c r="H92" s="34"/>
      <c r="I92" s="36"/>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137"/>
      <c r="BK92" s="143"/>
      <c r="BL92" s="143"/>
      <c r="BM92" s="143"/>
      <c r="BN92" s="143"/>
      <c r="BO92" s="143"/>
      <c r="BP92" s="143"/>
      <c r="BQ92" s="143"/>
      <c r="BR92" s="143"/>
      <c r="BS92" s="143"/>
      <c r="BT92" s="143"/>
      <c r="BU92" s="143"/>
      <c r="BV92" s="143"/>
      <c r="BW92" s="143"/>
      <c r="BX92" s="143"/>
      <c r="BY92" s="143"/>
      <c r="BZ92" s="143"/>
      <c r="CA92" s="143"/>
      <c r="CB92" s="143"/>
      <c r="CC92" s="143"/>
      <c r="CD92" s="143"/>
    </row>
    <row r="93" spans="1:82" ht="16.5" customHeight="1" x14ac:dyDescent="0.15">
      <c r="A93" s="35"/>
      <c r="B93" s="35"/>
      <c r="C93" s="35"/>
      <c r="D93" s="35"/>
      <c r="E93" s="35"/>
      <c r="F93" s="35"/>
      <c r="G93" s="35"/>
      <c r="H93" s="34"/>
      <c r="I93" s="36"/>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137"/>
      <c r="BK93" s="143"/>
      <c r="BL93" s="143"/>
      <c r="BM93" s="143"/>
      <c r="BN93" s="143"/>
      <c r="BO93" s="143"/>
      <c r="BP93" s="143"/>
      <c r="BQ93" s="143"/>
      <c r="BR93" s="143"/>
      <c r="BS93" s="143"/>
      <c r="BT93" s="143"/>
      <c r="BU93" s="143"/>
      <c r="BV93" s="143"/>
      <c r="BW93" s="143"/>
      <c r="BX93" s="143"/>
      <c r="BY93" s="143"/>
      <c r="BZ93" s="143"/>
      <c r="CA93" s="143"/>
      <c r="CB93" s="143"/>
      <c r="CC93" s="143"/>
      <c r="CD93" s="143"/>
    </row>
    <row r="94" spans="1:82" ht="16.5" customHeight="1" x14ac:dyDescent="0.15">
      <c r="A94" s="35"/>
      <c r="B94" s="35"/>
      <c r="C94" s="35"/>
      <c r="D94" s="35"/>
      <c r="E94" s="35"/>
      <c r="F94" s="35"/>
      <c r="G94" s="35"/>
      <c r="H94" s="34"/>
      <c r="I94" s="36"/>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137"/>
      <c r="BK94" s="143"/>
      <c r="BL94" s="143"/>
      <c r="BM94" s="143"/>
      <c r="BN94" s="143"/>
      <c r="BO94" s="143"/>
      <c r="BP94" s="143"/>
      <c r="BQ94" s="143"/>
      <c r="BR94" s="143"/>
      <c r="BS94" s="143"/>
      <c r="BT94" s="143"/>
      <c r="BU94" s="143"/>
      <c r="BV94" s="143"/>
      <c r="BW94" s="143"/>
      <c r="BX94" s="143"/>
      <c r="BY94" s="143"/>
      <c r="BZ94" s="143"/>
      <c r="CA94" s="143"/>
      <c r="CB94" s="143"/>
      <c r="CC94" s="143"/>
      <c r="CD94" s="143"/>
    </row>
    <row r="95" spans="1:82" ht="16.5" customHeight="1" x14ac:dyDescent="0.15">
      <c r="A95" s="35"/>
      <c r="B95" s="35"/>
      <c r="C95" s="35"/>
      <c r="D95" s="35"/>
      <c r="E95" s="35"/>
      <c r="F95" s="35"/>
      <c r="G95" s="35"/>
      <c r="H95" s="34"/>
      <c r="I95" s="36"/>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137"/>
      <c r="BK95" s="143"/>
      <c r="BL95" s="143"/>
      <c r="BM95" s="143"/>
      <c r="BN95" s="143"/>
      <c r="BO95" s="143"/>
      <c r="BP95" s="143"/>
      <c r="BQ95" s="143"/>
      <c r="BR95" s="143"/>
      <c r="BS95" s="143"/>
      <c r="BT95" s="143"/>
      <c r="BU95" s="143"/>
      <c r="BV95" s="143"/>
      <c r="BW95" s="143"/>
      <c r="BX95" s="143"/>
      <c r="BY95" s="143"/>
      <c r="BZ95" s="143"/>
      <c r="CA95" s="143"/>
      <c r="CB95" s="143"/>
      <c r="CC95" s="143"/>
      <c r="CD95" s="143"/>
    </row>
    <row r="96" spans="1:82" ht="16.5" customHeight="1" x14ac:dyDescent="0.15">
      <c r="A96" s="35"/>
      <c r="B96" s="35"/>
      <c r="C96" s="35"/>
      <c r="D96" s="35"/>
      <c r="E96" s="35"/>
      <c r="F96" s="35"/>
      <c r="G96" s="35"/>
      <c r="H96" s="34"/>
      <c r="I96" s="36"/>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137"/>
      <c r="BK96" s="143"/>
      <c r="BL96" s="143"/>
      <c r="BM96" s="143"/>
      <c r="BN96" s="143"/>
      <c r="BO96" s="143"/>
      <c r="BP96" s="143"/>
      <c r="BQ96" s="143"/>
      <c r="BR96" s="143"/>
      <c r="BS96" s="143"/>
      <c r="BT96" s="143"/>
      <c r="BU96" s="143"/>
      <c r="BV96" s="143"/>
      <c r="BW96" s="143"/>
      <c r="BX96" s="143"/>
      <c r="BY96" s="143"/>
      <c r="BZ96" s="143"/>
      <c r="CA96" s="143"/>
      <c r="CB96" s="143"/>
      <c r="CC96" s="143"/>
      <c r="CD96" s="143"/>
    </row>
    <row r="97" spans="1:82" ht="16.5" customHeight="1" x14ac:dyDescent="0.15">
      <c r="A97" s="35"/>
      <c r="B97" s="35"/>
      <c r="C97" s="35"/>
      <c r="D97" s="35"/>
      <c r="E97" s="35"/>
      <c r="F97" s="35"/>
      <c r="G97" s="35"/>
      <c r="H97" s="34"/>
      <c r="I97" s="36"/>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137"/>
      <c r="BK97" s="143"/>
      <c r="BL97" s="143"/>
      <c r="BM97" s="143"/>
      <c r="BN97" s="143"/>
      <c r="BO97" s="143"/>
      <c r="BP97" s="143"/>
      <c r="BQ97" s="143"/>
      <c r="BR97" s="143"/>
      <c r="BS97" s="143"/>
      <c r="BT97" s="143"/>
      <c r="BU97" s="143"/>
      <c r="BV97" s="143"/>
      <c r="BW97" s="143"/>
      <c r="BX97" s="143"/>
      <c r="BY97" s="143"/>
      <c r="BZ97" s="143"/>
      <c r="CA97" s="143"/>
      <c r="CB97" s="143"/>
      <c r="CC97" s="143"/>
      <c r="CD97" s="143"/>
    </row>
    <row r="98" spans="1:82" ht="16.5" customHeight="1" x14ac:dyDescent="0.15">
      <c r="A98" s="35"/>
      <c r="B98" s="35"/>
      <c r="C98" s="35"/>
      <c r="D98" s="35"/>
      <c r="E98" s="35"/>
      <c r="F98" s="35"/>
      <c r="G98" s="35"/>
      <c r="H98" s="34"/>
      <c r="I98" s="36"/>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137"/>
      <c r="BK98" s="143"/>
      <c r="BL98" s="143"/>
      <c r="BM98" s="143"/>
      <c r="BN98" s="143"/>
      <c r="BO98" s="143"/>
      <c r="BP98" s="143"/>
      <c r="BQ98" s="143"/>
      <c r="BR98" s="143"/>
      <c r="BS98" s="143"/>
      <c r="BT98" s="143"/>
      <c r="BU98" s="143"/>
      <c r="BV98" s="143"/>
      <c r="BW98" s="143"/>
      <c r="BX98" s="143"/>
      <c r="BY98" s="143"/>
      <c r="BZ98" s="143"/>
      <c r="CA98" s="143"/>
      <c r="CB98" s="143"/>
      <c r="CC98" s="143"/>
      <c r="CD98" s="143"/>
    </row>
    <row r="99" spans="1:82" ht="16.5" customHeight="1" x14ac:dyDescent="0.15">
      <c r="A99" s="35"/>
      <c r="B99" s="35"/>
      <c r="C99" s="35"/>
      <c r="D99" s="35"/>
      <c r="E99" s="35"/>
      <c r="F99" s="35"/>
      <c r="G99" s="35"/>
      <c r="H99" s="34"/>
      <c r="I99" s="36"/>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137"/>
      <c r="BK99" s="143"/>
      <c r="BL99" s="143"/>
      <c r="BM99" s="143"/>
      <c r="BN99" s="143"/>
      <c r="BO99" s="143"/>
      <c r="BP99" s="143"/>
      <c r="BQ99" s="143"/>
      <c r="BR99" s="143"/>
      <c r="BS99" s="143"/>
      <c r="BT99" s="143"/>
      <c r="BU99" s="143"/>
      <c r="BV99" s="143"/>
      <c r="BW99" s="143"/>
      <c r="BX99" s="143"/>
      <c r="BY99" s="143"/>
      <c r="BZ99" s="143"/>
      <c r="CA99" s="143"/>
      <c r="CB99" s="143"/>
      <c r="CC99" s="143"/>
      <c r="CD99" s="143"/>
    </row>
    <row r="100" spans="1:82" ht="16.5" customHeight="1" x14ac:dyDescent="0.15">
      <c r="A100" s="35"/>
      <c r="B100" s="35"/>
      <c r="C100" s="35"/>
      <c r="D100" s="35"/>
      <c r="E100" s="35"/>
      <c r="F100" s="35"/>
      <c r="G100" s="35"/>
      <c r="H100" s="34"/>
      <c r="I100" s="36"/>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137"/>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row>
    <row r="101" spans="1:82" ht="16.5" customHeight="1" x14ac:dyDescent="0.15">
      <c r="A101" s="35"/>
      <c r="B101" s="35"/>
      <c r="C101" s="35"/>
      <c r="D101" s="35"/>
      <c r="E101" s="35"/>
      <c r="F101" s="35"/>
      <c r="G101" s="35"/>
      <c r="H101" s="34"/>
      <c r="I101" s="36"/>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137"/>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row>
    <row r="102" spans="1:82" ht="16.5" customHeight="1" x14ac:dyDescent="0.15">
      <c r="A102" s="35"/>
      <c r="B102" s="35"/>
      <c r="C102" s="35"/>
      <c r="D102" s="35"/>
      <c r="E102" s="35"/>
      <c r="F102" s="35"/>
      <c r="G102" s="35"/>
      <c r="H102" s="34"/>
      <c r="I102" s="36"/>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137"/>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row>
    <row r="103" spans="1:82" ht="16.5" customHeight="1" x14ac:dyDescent="0.15">
      <c r="A103" s="35"/>
      <c r="B103" s="35"/>
      <c r="C103" s="35"/>
      <c r="D103" s="35"/>
      <c r="E103" s="35"/>
      <c r="F103" s="35"/>
      <c r="G103" s="35"/>
      <c r="H103" s="34"/>
      <c r="I103" s="36"/>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137"/>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row>
    <row r="104" spans="1:82" ht="16.5" customHeight="1" x14ac:dyDescent="0.15">
      <c r="A104" s="35"/>
      <c r="B104" s="35"/>
      <c r="C104" s="35"/>
      <c r="D104" s="35"/>
      <c r="E104" s="35"/>
      <c r="F104" s="35"/>
      <c r="G104" s="35"/>
      <c r="H104" s="34"/>
      <c r="I104" s="36"/>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137"/>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row>
    <row r="105" spans="1:82" ht="16.5" customHeight="1" x14ac:dyDescent="0.15">
      <c r="A105" s="35"/>
      <c r="B105" s="35"/>
      <c r="C105" s="35"/>
      <c r="D105" s="35"/>
      <c r="E105" s="35"/>
      <c r="F105" s="35"/>
      <c r="G105" s="35"/>
      <c r="H105" s="34"/>
      <c r="I105" s="36"/>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137"/>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row>
    <row r="106" spans="1:82" ht="16.5" customHeight="1" x14ac:dyDescent="0.15">
      <c r="A106" s="35"/>
      <c r="B106" s="35"/>
      <c r="C106" s="35"/>
      <c r="D106" s="35"/>
      <c r="E106" s="35"/>
      <c r="F106" s="35"/>
      <c r="G106" s="35"/>
      <c r="H106" s="34"/>
      <c r="I106" s="36"/>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137"/>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row>
    <row r="107" spans="1:82" ht="16.5" customHeight="1" x14ac:dyDescent="0.15">
      <c r="A107" s="35"/>
      <c r="B107" s="35"/>
      <c r="C107" s="35"/>
      <c r="D107" s="35"/>
      <c r="E107" s="35"/>
      <c r="F107" s="35"/>
      <c r="G107" s="35"/>
      <c r="H107" s="34"/>
      <c r="I107" s="36"/>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137"/>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row>
    <row r="108" spans="1:82" ht="16.5" customHeight="1" x14ac:dyDescent="0.15">
      <c r="A108" s="35"/>
      <c r="B108" s="35"/>
      <c r="C108" s="35"/>
      <c r="D108" s="35"/>
      <c r="E108" s="35"/>
      <c r="F108" s="35"/>
      <c r="G108" s="35"/>
      <c r="H108" s="34"/>
      <c r="I108" s="36"/>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137"/>
      <c r="BK108" s="143"/>
      <c r="BL108" s="143"/>
      <c r="BM108" s="143"/>
      <c r="BN108" s="143"/>
      <c r="BO108" s="143"/>
      <c r="BP108" s="143"/>
      <c r="BQ108" s="143"/>
      <c r="BR108" s="143"/>
      <c r="BS108" s="143"/>
      <c r="BT108" s="143"/>
      <c r="BU108" s="143"/>
      <c r="BV108" s="143"/>
      <c r="BW108" s="143"/>
      <c r="BX108" s="143"/>
      <c r="BY108" s="143"/>
      <c r="BZ108" s="143"/>
      <c r="CA108" s="143"/>
      <c r="CB108" s="143"/>
      <c r="CC108" s="143"/>
      <c r="CD108" s="143"/>
    </row>
    <row r="109" spans="1:82" ht="16.5" customHeight="1" x14ac:dyDescent="0.15">
      <c r="A109" s="35"/>
      <c r="B109" s="35"/>
      <c r="C109" s="35"/>
      <c r="D109" s="35"/>
      <c r="E109" s="35"/>
      <c r="F109" s="35"/>
      <c r="G109" s="35"/>
      <c r="H109" s="34"/>
      <c r="I109" s="36"/>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137"/>
      <c r="BK109" s="143"/>
      <c r="BL109" s="143"/>
      <c r="BM109" s="143"/>
      <c r="BN109" s="143"/>
      <c r="BO109" s="143"/>
      <c r="BP109" s="143"/>
      <c r="BQ109" s="143"/>
      <c r="BR109" s="143"/>
      <c r="BS109" s="143"/>
      <c r="BT109" s="143"/>
      <c r="BU109" s="143"/>
      <c r="BV109" s="143"/>
      <c r="BW109" s="143"/>
      <c r="BX109" s="143"/>
      <c r="BY109" s="143"/>
      <c r="BZ109" s="143"/>
      <c r="CA109" s="143"/>
      <c r="CB109" s="143"/>
      <c r="CC109" s="143"/>
      <c r="CD109" s="143"/>
    </row>
    <row r="110" spans="1:82" ht="16.5" customHeight="1" x14ac:dyDescent="0.15">
      <c r="A110" s="35"/>
      <c r="B110" s="35"/>
      <c r="C110" s="35"/>
      <c r="D110" s="35"/>
      <c r="E110" s="35"/>
      <c r="F110" s="35"/>
      <c r="G110" s="35"/>
      <c r="H110" s="34"/>
      <c r="I110" s="36"/>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137"/>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row>
    <row r="111" spans="1:82" ht="16.5" customHeight="1" x14ac:dyDescent="0.15">
      <c r="A111" s="35"/>
      <c r="B111" s="35"/>
      <c r="C111" s="35"/>
      <c r="D111" s="35"/>
      <c r="E111" s="35"/>
      <c r="F111" s="35"/>
      <c r="G111" s="35"/>
      <c r="H111" s="34"/>
      <c r="I111" s="36"/>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137"/>
      <c r="BK111" s="143"/>
      <c r="BL111" s="143"/>
      <c r="BM111" s="143"/>
      <c r="BN111" s="143"/>
      <c r="BO111" s="143"/>
      <c r="BP111" s="143"/>
      <c r="BQ111" s="143"/>
      <c r="BR111" s="143"/>
      <c r="BS111" s="143"/>
      <c r="BT111" s="143"/>
      <c r="BU111" s="143"/>
      <c r="BV111" s="143"/>
      <c r="BW111" s="143"/>
      <c r="BX111" s="143"/>
      <c r="BY111" s="143"/>
      <c r="BZ111" s="143"/>
      <c r="CA111" s="143"/>
      <c r="CB111" s="143"/>
      <c r="CC111" s="143"/>
      <c r="CD111" s="143"/>
    </row>
    <row r="112" spans="1:82" ht="16.5" customHeight="1" x14ac:dyDescent="0.15">
      <c r="A112" s="35"/>
      <c r="B112" s="35"/>
      <c r="C112" s="35"/>
      <c r="D112" s="35"/>
      <c r="E112" s="35"/>
      <c r="F112" s="35"/>
      <c r="G112" s="35"/>
      <c r="H112" s="34"/>
      <c r="I112" s="36"/>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137"/>
      <c r="BK112" s="143"/>
      <c r="BL112" s="143"/>
      <c r="BM112" s="143"/>
      <c r="BN112" s="143"/>
      <c r="BO112" s="143"/>
      <c r="BP112" s="143"/>
      <c r="BQ112" s="143"/>
      <c r="BR112" s="143"/>
      <c r="BS112" s="143"/>
      <c r="BT112" s="143"/>
      <c r="BU112" s="143"/>
      <c r="BV112" s="143"/>
      <c r="BW112" s="143"/>
      <c r="BX112" s="143"/>
      <c r="BY112" s="143"/>
      <c r="BZ112" s="143"/>
      <c r="CA112" s="143"/>
      <c r="CB112" s="143"/>
      <c r="CC112" s="143"/>
      <c r="CD112" s="143"/>
    </row>
    <row r="113" spans="1:82" ht="16.5" customHeight="1" x14ac:dyDescent="0.15">
      <c r="A113" s="35"/>
      <c r="B113" s="35"/>
      <c r="C113" s="35"/>
      <c r="D113" s="35"/>
      <c r="E113" s="35"/>
      <c r="F113" s="35"/>
      <c r="G113" s="35"/>
      <c r="H113" s="34"/>
      <c r="I113" s="36"/>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137"/>
      <c r="BK113" s="143"/>
      <c r="BL113" s="143"/>
      <c r="BM113" s="143"/>
      <c r="BN113" s="143"/>
      <c r="BO113" s="143"/>
      <c r="BP113" s="143"/>
      <c r="BQ113" s="143"/>
      <c r="BR113" s="143"/>
      <c r="BS113" s="143"/>
      <c r="BT113" s="143"/>
      <c r="BU113" s="143"/>
      <c r="BV113" s="143"/>
      <c r="BW113" s="143"/>
      <c r="BX113" s="143"/>
      <c r="BY113" s="143"/>
      <c r="BZ113" s="143"/>
      <c r="CA113" s="143"/>
      <c r="CB113" s="143"/>
      <c r="CC113" s="143"/>
      <c r="CD113" s="143"/>
    </row>
    <row r="114" spans="1:82" ht="16.5" customHeight="1" x14ac:dyDescent="0.15">
      <c r="A114" s="35"/>
      <c r="B114" s="35"/>
      <c r="C114" s="35"/>
      <c r="D114" s="35"/>
      <c r="E114" s="35"/>
      <c r="F114" s="35"/>
      <c r="G114" s="35"/>
      <c r="H114" s="34"/>
      <c r="I114" s="36"/>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137"/>
      <c r="BK114" s="143"/>
      <c r="BL114" s="143"/>
      <c r="BM114" s="143"/>
      <c r="BN114" s="143"/>
      <c r="BO114" s="143"/>
      <c r="BP114" s="143"/>
      <c r="BQ114" s="143"/>
      <c r="BR114" s="143"/>
      <c r="BS114" s="143"/>
      <c r="BT114" s="143"/>
      <c r="BU114" s="143"/>
      <c r="BV114" s="143"/>
      <c r="BW114" s="143"/>
      <c r="BX114" s="143"/>
      <c r="BY114" s="143"/>
      <c r="BZ114" s="143"/>
      <c r="CA114" s="143"/>
      <c r="CB114" s="143"/>
      <c r="CC114" s="143"/>
      <c r="CD114" s="143"/>
    </row>
    <row r="115" spans="1:82" ht="16.5" customHeight="1" x14ac:dyDescent="0.15">
      <c r="A115" s="35"/>
      <c r="B115" s="35"/>
      <c r="C115" s="35"/>
      <c r="D115" s="35"/>
      <c r="E115" s="35"/>
      <c r="F115" s="35"/>
      <c r="G115" s="35"/>
      <c r="H115" s="34"/>
      <c r="I115" s="36"/>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137"/>
      <c r="BK115" s="143"/>
      <c r="BL115" s="143"/>
      <c r="BM115" s="143"/>
      <c r="BN115" s="143"/>
      <c r="BO115" s="143"/>
      <c r="BP115" s="143"/>
      <c r="BQ115" s="143"/>
      <c r="BR115" s="143"/>
      <c r="BS115" s="143"/>
      <c r="BT115" s="143"/>
      <c r="BU115" s="143"/>
      <c r="BV115" s="143"/>
      <c r="BW115" s="143"/>
      <c r="BX115" s="143"/>
      <c r="BY115" s="143"/>
      <c r="BZ115" s="143"/>
      <c r="CA115" s="143"/>
      <c r="CB115" s="143"/>
      <c r="CC115" s="143"/>
      <c r="CD115" s="143"/>
    </row>
    <row r="116" spans="1:82" ht="16.5" customHeight="1" x14ac:dyDescent="0.15">
      <c r="A116" s="35"/>
      <c r="B116" s="35"/>
      <c r="C116" s="35"/>
      <c r="D116" s="35"/>
      <c r="E116" s="35"/>
      <c r="F116" s="35"/>
      <c r="G116" s="35"/>
      <c r="H116" s="34"/>
      <c r="I116" s="36"/>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137"/>
      <c r="BK116" s="143"/>
      <c r="BL116" s="143"/>
      <c r="BM116" s="143"/>
      <c r="BN116" s="143"/>
      <c r="BO116" s="143"/>
      <c r="BP116" s="143"/>
      <c r="BQ116" s="143"/>
      <c r="BR116" s="143"/>
      <c r="BS116" s="143"/>
      <c r="BT116" s="143"/>
      <c r="BU116" s="143"/>
      <c r="BV116" s="143"/>
      <c r="BW116" s="143"/>
      <c r="BX116" s="143"/>
      <c r="BY116" s="143"/>
      <c r="BZ116" s="143"/>
      <c r="CA116" s="143"/>
      <c r="CB116" s="143"/>
      <c r="CC116" s="143"/>
      <c r="CD116" s="143"/>
    </row>
    <row r="117" spans="1:82" ht="16.5" customHeight="1" x14ac:dyDescent="0.15">
      <c r="A117" s="35"/>
      <c r="B117" s="35"/>
      <c r="C117" s="35"/>
      <c r="D117" s="35"/>
      <c r="E117" s="35"/>
      <c r="F117" s="35"/>
      <c r="G117" s="35"/>
      <c r="H117" s="34"/>
      <c r="I117" s="36"/>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137"/>
      <c r="BK117" s="143"/>
      <c r="BL117" s="143"/>
      <c r="BM117" s="143"/>
      <c r="BN117" s="143"/>
      <c r="BO117" s="143"/>
      <c r="BP117" s="143"/>
      <c r="BQ117" s="143"/>
      <c r="BR117" s="143"/>
      <c r="BS117" s="143"/>
      <c r="BT117" s="143"/>
      <c r="BU117" s="143"/>
      <c r="BV117" s="143"/>
      <c r="BW117" s="143"/>
      <c r="BX117" s="143"/>
      <c r="BY117" s="143"/>
      <c r="BZ117" s="143"/>
      <c r="CA117" s="143"/>
      <c r="CB117" s="143"/>
      <c r="CC117" s="143"/>
      <c r="CD117" s="143"/>
    </row>
    <row r="118" spans="1:82" ht="16.5" customHeight="1" x14ac:dyDescent="0.15">
      <c r="A118" s="35"/>
      <c r="B118" s="35"/>
      <c r="C118" s="35"/>
      <c r="D118" s="35"/>
      <c r="E118" s="35"/>
      <c r="F118" s="35"/>
      <c r="G118" s="35"/>
      <c r="H118" s="34"/>
      <c r="I118" s="36"/>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137"/>
      <c r="BK118" s="143"/>
      <c r="BL118" s="143"/>
      <c r="BM118" s="143"/>
      <c r="BN118" s="143"/>
      <c r="BO118" s="143"/>
      <c r="BP118" s="143"/>
      <c r="BQ118" s="143"/>
      <c r="BR118" s="143"/>
      <c r="BS118" s="143"/>
      <c r="BT118" s="143"/>
      <c r="BU118" s="143"/>
      <c r="BV118" s="143"/>
      <c r="BW118" s="143"/>
      <c r="BX118" s="143"/>
      <c r="BY118" s="143"/>
      <c r="BZ118" s="143"/>
      <c r="CA118" s="143"/>
      <c r="CB118" s="143"/>
      <c r="CC118" s="143"/>
      <c r="CD118" s="143"/>
    </row>
    <row r="119" spans="1:82" ht="16.5" customHeight="1" x14ac:dyDescent="0.15">
      <c r="A119" s="35"/>
      <c r="B119" s="35"/>
      <c r="C119" s="35"/>
      <c r="D119" s="35"/>
      <c r="E119" s="35"/>
      <c r="F119" s="35"/>
      <c r="G119" s="35"/>
      <c r="H119" s="34"/>
      <c r="I119" s="36"/>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137"/>
      <c r="BK119" s="143"/>
      <c r="BL119" s="143"/>
      <c r="BM119" s="143"/>
      <c r="BN119" s="143"/>
      <c r="BO119" s="143"/>
      <c r="BP119" s="143"/>
      <c r="BQ119" s="143"/>
      <c r="BR119" s="143"/>
      <c r="BS119" s="143"/>
      <c r="BT119" s="143"/>
      <c r="BU119" s="143"/>
      <c r="BV119" s="143"/>
      <c r="BW119" s="143"/>
      <c r="BX119" s="143"/>
      <c r="BY119" s="143"/>
      <c r="BZ119" s="143"/>
      <c r="CA119" s="143"/>
      <c r="CB119" s="143"/>
      <c r="CC119" s="143"/>
      <c r="CD119" s="143"/>
    </row>
    <row r="120" spans="1:82" ht="16.5" customHeight="1" x14ac:dyDescent="0.15">
      <c r="A120" s="35"/>
      <c r="B120" s="35"/>
      <c r="C120" s="35"/>
      <c r="D120" s="35"/>
      <c r="E120" s="35"/>
      <c r="F120" s="35"/>
      <c r="G120" s="35"/>
      <c r="H120" s="34"/>
      <c r="I120" s="36"/>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137"/>
      <c r="BK120" s="143"/>
      <c r="BL120" s="143"/>
      <c r="BM120" s="143"/>
      <c r="BN120" s="143"/>
      <c r="BO120" s="143"/>
      <c r="BP120" s="143"/>
      <c r="BQ120" s="143"/>
      <c r="BR120" s="143"/>
      <c r="BS120" s="143"/>
      <c r="BT120" s="143"/>
      <c r="BU120" s="143"/>
      <c r="BV120" s="143"/>
      <c r="BW120" s="143"/>
      <c r="BX120" s="143"/>
      <c r="BY120" s="143"/>
      <c r="BZ120" s="143"/>
      <c r="CA120" s="143"/>
      <c r="CB120" s="143"/>
      <c r="CC120" s="143"/>
      <c r="CD120" s="143"/>
    </row>
    <row r="121" spans="1:82" ht="16.5" customHeight="1" x14ac:dyDescent="0.15">
      <c r="A121" s="35"/>
      <c r="B121" s="35"/>
      <c r="C121" s="35"/>
      <c r="D121" s="35"/>
      <c r="E121" s="35"/>
      <c r="F121" s="35"/>
      <c r="G121" s="35"/>
      <c r="H121" s="34"/>
      <c r="I121" s="36"/>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137"/>
      <c r="BK121" s="143"/>
      <c r="BL121" s="143"/>
      <c r="BM121" s="143"/>
      <c r="BN121" s="143"/>
      <c r="BO121" s="143"/>
      <c r="BP121" s="143"/>
      <c r="BQ121" s="143"/>
      <c r="BR121" s="143"/>
      <c r="BS121" s="143"/>
      <c r="BT121" s="143"/>
      <c r="BU121" s="143"/>
      <c r="BV121" s="143"/>
      <c r="BW121" s="143"/>
      <c r="BX121" s="143"/>
      <c r="BY121" s="143"/>
      <c r="BZ121" s="143"/>
      <c r="CA121" s="143"/>
      <c r="CB121" s="143"/>
      <c r="CC121" s="143"/>
      <c r="CD121" s="143"/>
    </row>
    <row r="122" spans="1:82" ht="16.5" customHeight="1" x14ac:dyDescent="0.15">
      <c r="A122" s="35"/>
      <c r="B122" s="35"/>
      <c r="C122" s="35"/>
      <c r="D122" s="35"/>
      <c r="E122" s="35"/>
      <c r="F122" s="35"/>
      <c r="G122" s="35"/>
      <c r="H122" s="34"/>
      <c r="I122" s="36"/>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137"/>
      <c r="BK122" s="143"/>
      <c r="BL122" s="143"/>
      <c r="BM122" s="143"/>
      <c r="BN122" s="143"/>
      <c r="BO122" s="143"/>
      <c r="BP122" s="143"/>
      <c r="BQ122" s="143"/>
      <c r="BR122" s="143"/>
      <c r="BS122" s="143"/>
      <c r="BT122" s="143"/>
      <c r="BU122" s="143"/>
      <c r="BV122" s="143"/>
      <c r="BW122" s="143"/>
      <c r="BX122" s="143"/>
      <c r="BY122" s="143"/>
      <c r="BZ122" s="143"/>
      <c r="CA122" s="143"/>
      <c r="CB122" s="143"/>
      <c r="CC122" s="143"/>
      <c r="CD122" s="143"/>
    </row>
    <row r="123" spans="1:82" ht="16.5" customHeight="1" x14ac:dyDescent="0.15">
      <c r="A123" s="35"/>
      <c r="B123" s="35"/>
      <c r="C123" s="35"/>
      <c r="D123" s="35"/>
      <c r="E123" s="35"/>
      <c r="F123" s="35"/>
      <c r="G123" s="35"/>
      <c r="H123" s="34"/>
      <c r="I123" s="36"/>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137"/>
      <c r="BK123" s="143"/>
      <c r="BL123" s="143"/>
      <c r="BM123" s="143"/>
      <c r="BN123" s="143"/>
      <c r="BO123" s="143"/>
      <c r="BP123" s="143"/>
      <c r="BQ123" s="143"/>
      <c r="BR123" s="143"/>
      <c r="BS123" s="143"/>
      <c r="BT123" s="143"/>
      <c r="BU123" s="143"/>
      <c r="BV123" s="143"/>
      <c r="BW123" s="143"/>
      <c r="BX123" s="143"/>
      <c r="BY123" s="143"/>
      <c r="BZ123" s="143"/>
      <c r="CA123" s="143"/>
      <c r="CB123" s="143"/>
      <c r="CC123" s="143"/>
      <c r="CD123" s="143"/>
    </row>
    <row r="124" spans="1:82" ht="16.5" customHeight="1" x14ac:dyDescent="0.15">
      <c r="A124" s="35"/>
      <c r="B124" s="35"/>
      <c r="C124" s="35"/>
      <c r="D124" s="35"/>
      <c r="E124" s="35"/>
      <c r="F124" s="35"/>
      <c r="G124" s="35"/>
      <c r="H124" s="34"/>
      <c r="I124" s="36"/>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137"/>
      <c r="BK124" s="143"/>
      <c r="BL124" s="143"/>
      <c r="BM124" s="143"/>
      <c r="BN124" s="143"/>
      <c r="BO124" s="143"/>
      <c r="BP124" s="143"/>
      <c r="BQ124" s="143"/>
      <c r="BR124" s="143"/>
      <c r="BS124" s="143"/>
      <c r="BT124" s="143"/>
      <c r="BU124" s="143"/>
      <c r="BV124" s="143"/>
      <c r="BW124" s="143"/>
      <c r="BX124" s="143"/>
      <c r="BY124" s="143"/>
      <c r="BZ124" s="143"/>
      <c r="CA124" s="143"/>
      <c r="CB124" s="143"/>
      <c r="CC124" s="143"/>
      <c r="CD124" s="143"/>
    </row>
    <row r="125" spans="1:82" ht="16.5" customHeight="1" x14ac:dyDescent="0.15">
      <c r="A125" s="35"/>
      <c r="B125" s="35"/>
      <c r="C125" s="35"/>
      <c r="D125" s="35"/>
      <c r="E125" s="35"/>
      <c r="F125" s="35"/>
      <c r="G125" s="35"/>
      <c r="H125" s="34"/>
      <c r="I125" s="36"/>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137"/>
      <c r="BK125" s="143"/>
      <c r="BL125" s="143"/>
      <c r="BM125" s="143"/>
      <c r="BN125" s="143"/>
      <c r="BO125" s="143"/>
      <c r="BP125" s="143"/>
      <c r="BQ125" s="143"/>
      <c r="BR125" s="143"/>
      <c r="BS125" s="143"/>
      <c r="BT125" s="143"/>
      <c r="BU125" s="143"/>
      <c r="BV125" s="143"/>
      <c r="BW125" s="143"/>
      <c r="BX125" s="143"/>
      <c r="BY125" s="143"/>
      <c r="BZ125" s="143"/>
      <c r="CA125" s="143"/>
      <c r="CB125" s="143"/>
      <c r="CC125" s="143"/>
      <c r="CD125" s="143"/>
    </row>
    <row r="126" spans="1:82" ht="16.5" customHeight="1" x14ac:dyDescent="0.15">
      <c r="A126" s="35"/>
      <c r="B126" s="35"/>
      <c r="C126" s="35"/>
      <c r="D126" s="35"/>
      <c r="E126" s="35"/>
      <c r="F126" s="35"/>
      <c r="G126" s="35"/>
      <c r="H126" s="34"/>
      <c r="I126" s="36"/>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137"/>
      <c r="BK126" s="143"/>
      <c r="BL126" s="143"/>
      <c r="BM126" s="143"/>
      <c r="BN126" s="143"/>
      <c r="BO126" s="143"/>
      <c r="BP126" s="143"/>
      <c r="BQ126" s="143"/>
      <c r="BR126" s="143"/>
      <c r="BS126" s="143"/>
      <c r="BT126" s="143"/>
      <c r="BU126" s="143"/>
      <c r="BV126" s="143"/>
      <c r="BW126" s="143"/>
      <c r="BX126" s="143"/>
      <c r="BY126" s="143"/>
      <c r="BZ126" s="143"/>
      <c r="CA126" s="143"/>
      <c r="CB126" s="143"/>
      <c r="CC126" s="143"/>
      <c r="CD126" s="143"/>
    </row>
    <row r="127" spans="1:82" ht="16.5" customHeight="1" x14ac:dyDescent="0.15">
      <c r="A127" s="35"/>
      <c r="B127" s="35"/>
      <c r="C127" s="35"/>
      <c r="D127" s="35"/>
      <c r="E127" s="35"/>
      <c r="F127" s="35"/>
      <c r="G127" s="35"/>
      <c r="H127" s="34"/>
      <c r="I127" s="36"/>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137"/>
      <c r="BK127" s="143"/>
      <c r="BL127" s="143"/>
      <c r="BM127" s="143"/>
      <c r="BN127" s="143"/>
      <c r="BO127" s="143"/>
      <c r="BP127" s="143"/>
      <c r="BQ127" s="143"/>
      <c r="BR127" s="143"/>
      <c r="BS127" s="143"/>
      <c r="BT127" s="143"/>
      <c r="BU127" s="143"/>
      <c r="BV127" s="143"/>
      <c r="BW127" s="143"/>
      <c r="BX127" s="143"/>
      <c r="BY127" s="143"/>
      <c r="BZ127" s="143"/>
      <c r="CA127" s="143"/>
      <c r="CB127" s="143"/>
      <c r="CC127" s="143"/>
      <c r="CD127" s="143"/>
    </row>
    <row r="128" spans="1:82" ht="16.5" customHeight="1" x14ac:dyDescent="0.15">
      <c r="A128" s="35"/>
      <c r="B128" s="35"/>
      <c r="C128" s="35"/>
      <c r="D128" s="35"/>
      <c r="E128" s="35"/>
      <c r="F128" s="35"/>
      <c r="G128" s="35"/>
      <c r="H128" s="34"/>
      <c r="I128" s="36"/>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137"/>
      <c r="BK128" s="143"/>
      <c r="BL128" s="143"/>
      <c r="BM128" s="143"/>
      <c r="BN128" s="143"/>
      <c r="BO128" s="143"/>
      <c r="BP128" s="143"/>
      <c r="BQ128" s="143"/>
      <c r="BR128" s="143"/>
      <c r="BS128" s="143"/>
      <c r="BT128" s="143"/>
      <c r="BU128" s="143"/>
      <c r="BV128" s="143"/>
      <c r="BW128" s="143"/>
      <c r="BX128" s="143"/>
      <c r="BY128" s="143"/>
      <c r="BZ128" s="143"/>
      <c r="CA128" s="143"/>
      <c r="CB128" s="143"/>
      <c r="CC128" s="143"/>
      <c r="CD128" s="143"/>
    </row>
    <row r="129" spans="1:82" ht="16.5" customHeight="1" x14ac:dyDescent="0.15">
      <c r="A129" s="35"/>
      <c r="B129" s="35"/>
      <c r="C129" s="35"/>
      <c r="D129" s="35"/>
      <c r="E129" s="35"/>
      <c r="F129" s="35"/>
      <c r="G129" s="35"/>
      <c r="H129" s="34"/>
      <c r="I129" s="36"/>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137"/>
      <c r="BK129" s="143"/>
      <c r="BL129" s="143"/>
      <c r="BM129" s="143"/>
      <c r="BN129" s="143"/>
      <c r="BO129" s="143"/>
      <c r="BP129" s="143"/>
      <c r="BQ129" s="143"/>
      <c r="BR129" s="143"/>
      <c r="BS129" s="143"/>
      <c r="BT129" s="143"/>
      <c r="BU129" s="143"/>
      <c r="BV129" s="143"/>
      <c r="BW129" s="143"/>
      <c r="BX129" s="143"/>
      <c r="BY129" s="143"/>
      <c r="BZ129" s="143"/>
      <c r="CA129" s="143"/>
      <c r="CB129" s="143"/>
      <c r="CC129" s="143"/>
      <c r="CD129" s="143"/>
    </row>
    <row r="130" spans="1:82" ht="16.5" customHeight="1" x14ac:dyDescent="0.15">
      <c r="A130" s="35"/>
      <c r="B130" s="35"/>
      <c r="C130" s="35"/>
      <c r="D130" s="35"/>
      <c r="E130" s="35"/>
      <c r="F130" s="35"/>
      <c r="G130" s="35"/>
      <c r="H130" s="34"/>
      <c r="I130" s="36"/>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137"/>
      <c r="BK130" s="143"/>
      <c r="BL130" s="143"/>
      <c r="BM130" s="143"/>
      <c r="BN130" s="143"/>
      <c r="BO130" s="143"/>
      <c r="BP130" s="143"/>
      <c r="BQ130" s="143"/>
      <c r="BR130" s="143"/>
      <c r="BS130" s="143"/>
      <c r="BT130" s="143"/>
      <c r="BU130" s="143"/>
      <c r="BV130" s="143"/>
      <c r="BW130" s="143"/>
      <c r="BX130" s="143"/>
      <c r="BY130" s="143"/>
      <c r="BZ130" s="143"/>
      <c r="CA130" s="143"/>
      <c r="CB130" s="143"/>
      <c r="CC130" s="143"/>
      <c r="CD130" s="143"/>
    </row>
    <row r="131" spans="1:82" ht="16.5" customHeight="1" x14ac:dyDescent="0.15">
      <c r="A131" s="35"/>
      <c r="B131" s="35"/>
      <c r="C131" s="35"/>
      <c r="D131" s="35"/>
      <c r="E131" s="35"/>
      <c r="F131" s="35"/>
      <c r="G131" s="35"/>
      <c r="H131" s="34"/>
      <c r="I131" s="36"/>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137"/>
      <c r="BK131" s="143"/>
      <c r="BL131" s="143"/>
      <c r="BM131" s="143"/>
      <c r="BN131" s="143"/>
      <c r="BO131" s="143"/>
      <c r="BP131" s="143"/>
      <c r="BQ131" s="143"/>
      <c r="BR131" s="143"/>
      <c r="BS131" s="143"/>
      <c r="BT131" s="143"/>
      <c r="BU131" s="143"/>
      <c r="BV131" s="143"/>
      <c r="BW131" s="143"/>
      <c r="BX131" s="143"/>
      <c r="BY131" s="143"/>
      <c r="BZ131" s="143"/>
      <c r="CA131" s="143"/>
      <c r="CB131" s="143"/>
      <c r="CC131" s="143"/>
      <c r="CD131" s="143"/>
    </row>
    <row r="132" spans="1:82" ht="16.5" customHeight="1" x14ac:dyDescent="0.15">
      <c r="A132" s="35"/>
      <c r="B132" s="35"/>
      <c r="C132" s="35"/>
      <c r="D132" s="35"/>
      <c r="E132" s="35"/>
      <c r="F132" s="35"/>
      <c r="G132" s="35"/>
      <c r="H132" s="34"/>
      <c r="I132" s="36"/>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137"/>
      <c r="BK132" s="143"/>
      <c r="BL132" s="143"/>
      <c r="BM132" s="143"/>
      <c r="BN132" s="143"/>
      <c r="BO132" s="143"/>
      <c r="BP132" s="143"/>
      <c r="BQ132" s="143"/>
      <c r="BR132" s="143"/>
      <c r="BS132" s="143"/>
      <c r="BT132" s="143"/>
      <c r="BU132" s="143"/>
      <c r="BV132" s="143"/>
      <c r="BW132" s="143"/>
      <c r="BX132" s="143"/>
      <c r="BY132" s="143"/>
      <c r="BZ132" s="143"/>
      <c r="CA132" s="143"/>
      <c r="CB132" s="143"/>
      <c r="CC132" s="143"/>
      <c r="CD132" s="143"/>
    </row>
    <row r="133" spans="1:82" ht="16.5" customHeight="1" x14ac:dyDescent="0.15">
      <c r="A133" s="35"/>
      <c r="B133" s="35"/>
      <c r="C133" s="35"/>
      <c r="D133" s="35"/>
      <c r="E133" s="35"/>
      <c r="F133" s="35"/>
      <c r="G133" s="35"/>
      <c r="H133" s="34"/>
      <c r="I133" s="36"/>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137"/>
      <c r="BK133" s="143"/>
      <c r="BL133" s="143"/>
      <c r="BM133" s="143"/>
      <c r="BN133" s="143"/>
      <c r="BO133" s="143"/>
      <c r="BP133" s="143"/>
      <c r="BQ133" s="143"/>
      <c r="BR133" s="143"/>
      <c r="BS133" s="143"/>
      <c r="BT133" s="143"/>
      <c r="BU133" s="143"/>
      <c r="BV133" s="143"/>
      <c r="BW133" s="143"/>
      <c r="BX133" s="143"/>
      <c r="BY133" s="143"/>
      <c r="BZ133" s="143"/>
      <c r="CA133" s="143"/>
      <c r="CB133" s="143"/>
      <c r="CC133" s="143"/>
      <c r="CD133" s="143"/>
    </row>
    <row r="134" spans="1:82" ht="16.5" customHeight="1" x14ac:dyDescent="0.15">
      <c r="A134" s="35"/>
      <c r="B134" s="35"/>
      <c r="C134" s="35"/>
      <c r="D134" s="35"/>
      <c r="E134" s="35"/>
      <c r="F134" s="35"/>
      <c r="G134" s="35"/>
      <c r="H134" s="34"/>
      <c r="I134" s="36"/>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137"/>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row>
    <row r="135" spans="1:82" ht="16.5" customHeight="1" x14ac:dyDescent="0.15">
      <c r="A135" s="35"/>
      <c r="B135" s="35"/>
      <c r="C135" s="35"/>
      <c r="D135" s="35"/>
      <c r="E135" s="35"/>
      <c r="F135" s="35"/>
      <c r="G135" s="35"/>
      <c r="H135" s="34"/>
      <c r="I135" s="36"/>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137"/>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row>
    <row r="136" spans="1:82" ht="16.5" customHeight="1" x14ac:dyDescent="0.15">
      <c r="A136" s="35"/>
      <c r="B136" s="35"/>
      <c r="C136" s="35"/>
      <c r="D136" s="35"/>
      <c r="E136" s="35"/>
      <c r="F136" s="35"/>
      <c r="G136" s="35"/>
      <c r="H136" s="34"/>
      <c r="I136" s="36"/>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137"/>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row>
    <row r="137" spans="1:82" ht="16.5" customHeight="1" x14ac:dyDescent="0.15">
      <c r="A137" s="35"/>
      <c r="B137" s="35"/>
      <c r="C137" s="35"/>
      <c r="D137" s="35"/>
      <c r="E137" s="35"/>
      <c r="F137" s="35"/>
      <c r="G137" s="35"/>
      <c r="H137" s="34"/>
      <c r="I137" s="36"/>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137"/>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row>
    <row r="138" spans="1:82" ht="16.5" customHeight="1" x14ac:dyDescent="0.15">
      <c r="A138" s="35"/>
      <c r="B138" s="35"/>
      <c r="C138" s="35"/>
      <c r="D138" s="35"/>
      <c r="E138" s="35"/>
      <c r="F138" s="35"/>
      <c r="G138" s="35"/>
      <c r="H138" s="34"/>
      <c r="I138" s="36"/>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137"/>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row>
    <row r="139" spans="1:82" ht="16.5" customHeight="1" x14ac:dyDescent="0.15">
      <c r="A139" s="35"/>
      <c r="B139" s="35"/>
      <c r="C139" s="35"/>
      <c r="D139" s="35"/>
      <c r="E139" s="35"/>
      <c r="F139" s="35"/>
      <c r="G139" s="35"/>
      <c r="H139" s="34"/>
      <c r="I139" s="36"/>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137"/>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row>
    <row r="140" spans="1:82" ht="16.5" customHeight="1" x14ac:dyDescent="0.15">
      <c r="A140" s="35"/>
      <c r="B140" s="35"/>
      <c r="C140" s="35"/>
      <c r="D140" s="35"/>
      <c r="E140" s="35"/>
      <c r="F140" s="35"/>
      <c r="G140" s="35"/>
      <c r="H140" s="34"/>
      <c r="I140" s="36"/>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137"/>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row>
    <row r="141" spans="1:82" ht="16.5" customHeight="1" x14ac:dyDescent="0.15">
      <c r="A141" s="35"/>
      <c r="B141" s="35"/>
      <c r="C141" s="35"/>
      <c r="D141" s="35"/>
      <c r="E141" s="35"/>
      <c r="F141" s="35"/>
      <c r="G141" s="35"/>
      <c r="H141" s="34"/>
      <c r="I141" s="36"/>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137"/>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row>
    <row r="142" spans="1:82" ht="16.5" customHeight="1" x14ac:dyDescent="0.15">
      <c r="A142" s="35"/>
      <c r="B142" s="35"/>
      <c r="C142" s="35"/>
      <c r="D142" s="35"/>
      <c r="E142" s="35"/>
      <c r="F142" s="35"/>
      <c r="G142" s="35"/>
      <c r="H142" s="34"/>
      <c r="I142" s="36"/>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137"/>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row>
    <row r="143" spans="1:82" ht="16.5" customHeight="1" x14ac:dyDescent="0.15">
      <c r="A143" s="35"/>
      <c r="B143" s="35"/>
      <c r="C143" s="35"/>
      <c r="D143" s="35"/>
      <c r="E143" s="35"/>
      <c r="F143" s="35"/>
      <c r="G143" s="35"/>
      <c r="H143" s="34"/>
      <c r="I143" s="36"/>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137"/>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row>
    <row r="144" spans="1:82" ht="16.5" customHeight="1" x14ac:dyDescent="0.15">
      <c r="A144" s="35"/>
      <c r="B144" s="35"/>
      <c r="C144" s="35"/>
      <c r="D144" s="35"/>
      <c r="E144" s="35"/>
      <c r="F144" s="35"/>
      <c r="G144" s="35"/>
      <c r="H144" s="34"/>
      <c r="I144" s="36"/>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137"/>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row>
    <row r="145" spans="1:82" ht="16.5" customHeight="1" x14ac:dyDescent="0.15">
      <c r="A145" s="35"/>
      <c r="B145" s="35"/>
      <c r="C145" s="35"/>
      <c r="D145" s="35"/>
      <c r="E145" s="35"/>
      <c r="F145" s="35"/>
      <c r="G145" s="35"/>
      <c r="H145" s="34"/>
      <c r="I145" s="36"/>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137"/>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row>
    <row r="146" spans="1:82" ht="16.5" customHeight="1" x14ac:dyDescent="0.15">
      <c r="A146" s="35"/>
      <c r="B146" s="35"/>
      <c r="C146" s="35"/>
      <c r="D146" s="35"/>
      <c r="E146" s="35"/>
      <c r="F146" s="35"/>
      <c r="G146" s="35"/>
      <c r="H146" s="34"/>
      <c r="I146" s="36"/>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137"/>
      <c r="BK146" s="143"/>
      <c r="BL146" s="143"/>
      <c r="BM146" s="143"/>
      <c r="BN146" s="143"/>
      <c r="BO146" s="143"/>
      <c r="BP146" s="143"/>
      <c r="BQ146" s="143"/>
      <c r="BR146" s="143"/>
      <c r="BS146" s="143"/>
      <c r="BT146" s="143"/>
      <c r="BU146" s="143"/>
      <c r="BV146" s="143"/>
      <c r="BW146" s="143"/>
      <c r="BX146" s="143"/>
      <c r="BY146" s="143"/>
      <c r="BZ146" s="143"/>
      <c r="CA146" s="143"/>
      <c r="CB146" s="143"/>
      <c r="CC146" s="143"/>
      <c r="CD146" s="143"/>
    </row>
    <row r="147" spans="1:82" ht="16.5" customHeight="1" x14ac:dyDescent="0.15">
      <c r="A147" s="35"/>
      <c r="B147" s="35"/>
      <c r="C147" s="35"/>
      <c r="D147" s="35"/>
      <c r="E147" s="35"/>
      <c r="F147" s="35"/>
      <c r="G147" s="35"/>
      <c r="H147" s="34"/>
      <c r="I147" s="36"/>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137"/>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row>
    <row r="148" spans="1:82" ht="16.5" customHeight="1" x14ac:dyDescent="0.15">
      <c r="A148" s="35"/>
      <c r="B148" s="35"/>
      <c r="C148" s="35"/>
      <c r="D148" s="35"/>
      <c r="E148" s="35"/>
      <c r="F148" s="35"/>
      <c r="G148" s="35"/>
      <c r="H148" s="34"/>
      <c r="I148" s="36"/>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137"/>
      <c r="BK148" s="143"/>
      <c r="BL148" s="143"/>
      <c r="BM148" s="143"/>
      <c r="BN148" s="143"/>
      <c r="BO148" s="143"/>
      <c r="BP148" s="143"/>
      <c r="BQ148" s="143"/>
      <c r="BR148" s="143"/>
      <c r="BS148" s="143"/>
      <c r="BT148" s="143"/>
      <c r="BU148" s="143"/>
      <c r="BV148" s="143"/>
      <c r="BW148" s="143"/>
      <c r="BX148" s="143"/>
      <c r="BY148" s="143"/>
      <c r="BZ148" s="143"/>
      <c r="CA148" s="143"/>
      <c r="CB148" s="143"/>
      <c r="CC148" s="143"/>
      <c r="CD148" s="143"/>
    </row>
    <row r="149" spans="1:82" ht="16.5" customHeight="1" x14ac:dyDescent="0.15">
      <c r="A149" s="35"/>
      <c r="B149" s="35"/>
      <c r="C149" s="35"/>
      <c r="D149" s="35"/>
      <c r="E149" s="35"/>
      <c r="F149" s="35"/>
      <c r="G149" s="35"/>
      <c r="H149" s="34"/>
      <c r="I149" s="36"/>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137"/>
      <c r="BK149" s="143"/>
      <c r="BL149" s="143"/>
      <c r="BM149" s="143"/>
      <c r="BN149" s="143"/>
      <c r="BO149" s="143"/>
      <c r="BP149" s="143"/>
      <c r="BQ149" s="143"/>
      <c r="BR149" s="143"/>
      <c r="BS149" s="143"/>
      <c r="BT149" s="143"/>
      <c r="BU149" s="143"/>
      <c r="BV149" s="143"/>
      <c r="BW149" s="143"/>
      <c r="BX149" s="143"/>
      <c r="BY149" s="143"/>
      <c r="BZ149" s="143"/>
      <c r="CA149" s="143"/>
      <c r="CB149" s="143"/>
      <c r="CC149" s="143"/>
      <c r="CD149" s="143"/>
    </row>
    <row r="150" spans="1:82" ht="16.5" customHeight="1" x14ac:dyDescent="0.15">
      <c r="A150" s="35"/>
      <c r="B150" s="35"/>
      <c r="C150" s="35"/>
      <c r="D150" s="35"/>
      <c r="E150" s="35"/>
      <c r="F150" s="35"/>
      <c r="G150" s="35"/>
      <c r="H150" s="34"/>
      <c r="I150" s="36"/>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137"/>
      <c r="BK150" s="143"/>
      <c r="BL150" s="143"/>
      <c r="BM150" s="143"/>
      <c r="BN150" s="143"/>
      <c r="BO150" s="143"/>
      <c r="BP150" s="143"/>
      <c r="BQ150" s="143"/>
      <c r="BR150" s="143"/>
      <c r="BS150" s="143"/>
      <c r="BT150" s="143"/>
      <c r="BU150" s="143"/>
      <c r="BV150" s="143"/>
      <c r="BW150" s="143"/>
      <c r="BX150" s="143"/>
      <c r="BY150" s="143"/>
      <c r="BZ150" s="143"/>
      <c r="CA150" s="143"/>
      <c r="CB150" s="143"/>
      <c r="CC150" s="143"/>
      <c r="CD150" s="143"/>
    </row>
    <row r="151" spans="1:82" ht="16.5" customHeight="1" x14ac:dyDescent="0.15">
      <c r="A151" s="35"/>
      <c r="B151" s="35"/>
      <c r="C151" s="35"/>
      <c r="D151" s="35"/>
      <c r="E151" s="35"/>
      <c r="F151" s="35"/>
      <c r="G151" s="35"/>
      <c r="H151" s="34"/>
      <c r="I151" s="36"/>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137"/>
      <c r="BK151" s="143"/>
      <c r="BL151" s="143"/>
      <c r="BM151" s="143"/>
      <c r="BN151" s="143"/>
      <c r="BO151" s="143"/>
      <c r="BP151" s="143"/>
      <c r="BQ151" s="143"/>
      <c r="BR151" s="143"/>
      <c r="BS151" s="143"/>
      <c r="BT151" s="143"/>
      <c r="BU151" s="143"/>
      <c r="BV151" s="143"/>
      <c r="BW151" s="143"/>
      <c r="BX151" s="143"/>
      <c r="BY151" s="143"/>
      <c r="BZ151" s="143"/>
      <c r="CA151" s="143"/>
      <c r="CB151" s="143"/>
      <c r="CC151" s="143"/>
      <c r="CD151" s="143"/>
    </row>
    <row r="152" spans="1:82" ht="16.5" customHeight="1" x14ac:dyDescent="0.15">
      <c r="A152" s="35"/>
      <c r="B152" s="35"/>
      <c r="C152" s="35"/>
      <c r="D152" s="35"/>
      <c r="E152" s="35"/>
      <c r="F152" s="35"/>
      <c r="G152" s="35"/>
      <c r="H152" s="34"/>
      <c r="I152" s="36"/>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137"/>
      <c r="BK152" s="143"/>
      <c r="BL152" s="143"/>
      <c r="BM152" s="143"/>
      <c r="BN152" s="143"/>
      <c r="BO152" s="143"/>
      <c r="BP152" s="143"/>
      <c r="BQ152" s="143"/>
      <c r="BR152" s="143"/>
      <c r="BS152" s="143"/>
      <c r="BT152" s="143"/>
      <c r="BU152" s="143"/>
      <c r="BV152" s="143"/>
      <c r="BW152" s="143"/>
      <c r="BX152" s="143"/>
      <c r="BY152" s="143"/>
      <c r="BZ152" s="143"/>
      <c r="CA152" s="143"/>
      <c r="CB152" s="143"/>
      <c r="CC152" s="143"/>
      <c r="CD152" s="143"/>
    </row>
    <row r="153" spans="1:82" ht="16.5" customHeight="1" x14ac:dyDescent="0.15">
      <c r="A153" s="35"/>
      <c r="B153" s="35"/>
      <c r="C153" s="35"/>
      <c r="D153" s="35"/>
      <c r="E153" s="35"/>
      <c r="F153" s="35"/>
      <c r="G153" s="35"/>
      <c r="H153" s="34"/>
      <c r="I153" s="36"/>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137"/>
      <c r="BK153" s="143"/>
      <c r="BL153" s="143"/>
      <c r="BM153" s="143"/>
      <c r="BN153" s="143"/>
      <c r="BO153" s="143"/>
      <c r="BP153" s="143"/>
      <c r="BQ153" s="143"/>
      <c r="BR153" s="143"/>
      <c r="BS153" s="143"/>
      <c r="BT153" s="143"/>
      <c r="BU153" s="143"/>
      <c r="BV153" s="143"/>
      <c r="BW153" s="143"/>
      <c r="BX153" s="143"/>
      <c r="BY153" s="143"/>
      <c r="BZ153" s="143"/>
      <c r="CA153" s="143"/>
      <c r="CB153" s="143"/>
      <c r="CC153" s="143"/>
      <c r="CD153" s="143"/>
    </row>
    <row r="154" spans="1:82" ht="16.5" customHeight="1" x14ac:dyDescent="0.15">
      <c r="A154" s="35"/>
      <c r="B154" s="35"/>
      <c r="C154" s="35"/>
      <c r="D154" s="35"/>
      <c r="E154" s="35"/>
      <c r="F154" s="35"/>
      <c r="G154" s="35"/>
      <c r="H154" s="34"/>
      <c r="I154" s="36"/>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137"/>
      <c r="BK154" s="143"/>
      <c r="BL154" s="143"/>
      <c r="BM154" s="143"/>
      <c r="BN154" s="143"/>
      <c r="BO154" s="143"/>
      <c r="BP154" s="143"/>
      <c r="BQ154" s="143"/>
      <c r="BR154" s="143"/>
      <c r="BS154" s="143"/>
      <c r="BT154" s="143"/>
      <c r="BU154" s="143"/>
      <c r="BV154" s="143"/>
      <c r="BW154" s="143"/>
      <c r="BX154" s="143"/>
      <c r="BY154" s="143"/>
      <c r="BZ154" s="143"/>
      <c r="CA154" s="143"/>
      <c r="CB154" s="143"/>
      <c r="CC154" s="143"/>
      <c r="CD154" s="143"/>
    </row>
    <row r="155" spans="1:82" ht="16.5" customHeight="1" x14ac:dyDescent="0.15">
      <c r="A155" s="35"/>
      <c r="B155" s="35"/>
      <c r="C155" s="35"/>
      <c r="D155" s="35"/>
      <c r="E155" s="35"/>
      <c r="F155" s="35"/>
      <c r="G155" s="35"/>
      <c r="H155" s="34"/>
      <c r="I155" s="36"/>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137"/>
      <c r="BK155" s="143"/>
      <c r="BL155" s="143"/>
      <c r="BM155" s="143"/>
      <c r="BN155" s="143"/>
      <c r="BO155" s="143"/>
      <c r="BP155" s="143"/>
      <c r="BQ155" s="143"/>
      <c r="BR155" s="143"/>
      <c r="BS155" s="143"/>
      <c r="BT155" s="143"/>
      <c r="BU155" s="143"/>
      <c r="BV155" s="143"/>
      <c r="BW155" s="143"/>
      <c r="BX155" s="143"/>
      <c r="BY155" s="143"/>
      <c r="BZ155" s="143"/>
      <c r="CA155" s="143"/>
      <c r="CB155" s="143"/>
      <c r="CC155" s="143"/>
      <c r="CD155" s="143"/>
    </row>
    <row r="156" spans="1:82" ht="16.5" customHeight="1" x14ac:dyDescent="0.15">
      <c r="A156" s="35"/>
      <c r="B156" s="35"/>
      <c r="C156" s="35"/>
      <c r="D156" s="35"/>
      <c r="E156" s="35"/>
      <c r="F156" s="35"/>
      <c r="G156" s="35"/>
      <c r="H156" s="34"/>
      <c r="I156" s="36"/>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137"/>
      <c r="BK156" s="143"/>
      <c r="BL156" s="143"/>
      <c r="BM156" s="143"/>
      <c r="BN156" s="143"/>
      <c r="BO156" s="143"/>
      <c r="BP156" s="143"/>
      <c r="BQ156" s="143"/>
      <c r="BR156" s="143"/>
      <c r="BS156" s="143"/>
      <c r="BT156" s="143"/>
      <c r="BU156" s="143"/>
      <c r="BV156" s="143"/>
      <c r="BW156" s="143"/>
      <c r="BX156" s="143"/>
      <c r="BY156" s="143"/>
      <c r="BZ156" s="143"/>
      <c r="CA156" s="143"/>
      <c r="CB156" s="143"/>
      <c r="CC156" s="143"/>
      <c r="CD156" s="143"/>
    </row>
    <row r="157" spans="1:82" ht="16.5" customHeight="1" x14ac:dyDescent="0.15">
      <c r="A157" s="35"/>
      <c r="B157" s="35"/>
      <c r="C157" s="35"/>
      <c r="D157" s="35"/>
      <c r="E157" s="35"/>
      <c r="F157" s="35"/>
      <c r="G157" s="35"/>
      <c r="H157" s="34"/>
      <c r="I157" s="36"/>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137"/>
      <c r="BK157" s="143"/>
      <c r="BL157" s="143"/>
      <c r="BM157" s="143"/>
      <c r="BN157" s="143"/>
      <c r="BO157" s="143"/>
      <c r="BP157" s="143"/>
      <c r="BQ157" s="143"/>
      <c r="BR157" s="143"/>
      <c r="BS157" s="143"/>
      <c r="BT157" s="143"/>
      <c r="BU157" s="143"/>
      <c r="BV157" s="143"/>
      <c r="BW157" s="143"/>
      <c r="BX157" s="143"/>
      <c r="BY157" s="143"/>
      <c r="BZ157" s="143"/>
      <c r="CA157" s="143"/>
      <c r="CB157" s="143"/>
      <c r="CC157" s="143"/>
      <c r="CD157" s="143"/>
    </row>
    <row r="158" spans="1:82" ht="16.5" customHeight="1" x14ac:dyDescent="0.15">
      <c r="A158" s="35"/>
      <c r="B158" s="35"/>
      <c r="C158" s="35"/>
      <c r="D158" s="35"/>
      <c r="E158" s="35"/>
      <c r="F158" s="35"/>
      <c r="G158" s="35"/>
      <c r="H158" s="34"/>
      <c r="I158" s="36"/>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137"/>
      <c r="BK158" s="143"/>
      <c r="BL158" s="143"/>
      <c r="BM158" s="143"/>
      <c r="BN158" s="143"/>
      <c r="BO158" s="143"/>
      <c r="BP158" s="143"/>
      <c r="BQ158" s="143"/>
      <c r="BR158" s="143"/>
      <c r="BS158" s="143"/>
      <c r="BT158" s="143"/>
      <c r="BU158" s="143"/>
      <c r="BV158" s="143"/>
      <c r="BW158" s="143"/>
      <c r="BX158" s="143"/>
      <c r="BY158" s="143"/>
      <c r="BZ158" s="143"/>
      <c r="CA158" s="143"/>
      <c r="CB158" s="143"/>
      <c r="CC158" s="143"/>
      <c r="CD158" s="143"/>
    </row>
    <row r="159" spans="1:82" ht="16.5" customHeight="1" x14ac:dyDescent="0.15">
      <c r="A159" s="35"/>
      <c r="B159" s="35"/>
      <c r="C159" s="35"/>
      <c r="D159" s="35"/>
      <c r="E159" s="35"/>
      <c r="F159" s="35"/>
      <c r="G159" s="35"/>
      <c r="H159" s="34"/>
      <c r="I159" s="36"/>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137"/>
      <c r="BK159" s="143"/>
      <c r="BL159" s="143"/>
      <c r="BM159" s="143"/>
      <c r="BN159" s="143"/>
      <c r="BO159" s="143"/>
      <c r="BP159" s="143"/>
      <c r="BQ159" s="143"/>
      <c r="BR159" s="143"/>
      <c r="BS159" s="143"/>
      <c r="BT159" s="143"/>
      <c r="BU159" s="143"/>
      <c r="BV159" s="143"/>
      <c r="BW159" s="143"/>
      <c r="BX159" s="143"/>
      <c r="BY159" s="143"/>
      <c r="BZ159" s="143"/>
      <c r="CA159" s="143"/>
      <c r="CB159" s="143"/>
      <c r="CC159" s="143"/>
      <c r="CD159" s="143"/>
    </row>
    <row r="160" spans="1:82" ht="16.5" customHeight="1" x14ac:dyDescent="0.15">
      <c r="A160" s="35"/>
      <c r="B160" s="35"/>
      <c r="C160" s="35"/>
      <c r="D160" s="35"/>
      <c r="E160" s="35"/>
      <c r="F160" s="35"/>
      <c r="G160" s="35"/>
      <c r="H160" s="34"/>
      <c r="I160" s="36"/>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137"/>
      <c r="BK160" s="143"/>
      <c r="BL160" s="143"/>
      <c r="BM160" s="143"/>
      <c r="BN160" s="143"/>
      <c r="BO160" s="143"/>
      <c r="BP160" s="143"/>
      <c r="BQ160" s="143"/>
      <c r="BR160" s="143"/>
      <c r="BS160" s="143"/>
      <c r="BT160" s="143"/>
      <c r="BU160" s="143"/>
      <c r="BV160" s="143"/>
      <c r="BW160" s="143"/>
      <c r="BX160" s="143"/>
      <c r="BY160" s="143"/>
      <c r="BZ160" s="143"/>
      <c r="CA160" s="143"/>
      <c r="CB160" s="143"/>
      <c r="CC160" s="143"/>
      <c r="CD160" s="143"/>
    </row>
    <row r="161" spans="1:82" ht="16.5" customHeight="1" x14ac:dyDescent="0.15">
      <c r="A161" s="35"/>
      <c r="B161" s="35"/>
      <c r="C161" s="35"/>
      <c r="D161" s="35"/>
      <c r="E161" s="35"/>
      <c r="F161" s="35"/>
      <c r="G161" s="35"/>
      <c r="H161" s="34"/>
      <c r="I161" s="36"/>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137"/>
      <c r="BK161" s="143"/>
      <c r="BL161" s="143"/>
      <c r="BM161" s="143"/>
      <c r="BN161" s="143"/>
      <c r="BO161" s="143"/>
      <c r="BP161" s="143"/>
      <c r="BQ161" s="143"/>
      <c r="BR161" s="143"/>
      <c r="BS161" s="143"/>
      <c r="BT161" s="143"/>
      <c r="BU161" s="143"/>
      <c r="BV161" s="143"/>
      <c r="BW161" s="143"/>
      <c r="BX161" s="143"/>
      <c r="BY161" s="143"/>
      <c r="BZ161" s="143"/>
      <c r="CA161" s="143"/>
      <c r="CB161" s="143"/>
      <c r="CC161" s="143"/>
      <c r="CD161" s="143"/>
    </row>
    <row r="162" spans="1:82" ht="16.5" customHeight="1" x14ac:dyDescent="0.15">
      <c r="A162" s="35"/>
      <c r="B162" s="35"/>
      <c r="C162" s="35"/>
      <c r="D162" s="35"/>
      <c r="E162" s="35"/>
      <c r="F162" s="35"/>
      <c r="G162" s="35"/>
      <c r="H162" s="34"/>
      <c r="I162" s="36"/>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137"/>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row>
    <row r="163" spans="1:82" ht="16.5" customHeight="1" x14ac:dyDescent="0.15">
      <c r="A163" s="35"/>
      <c r="B163" s="35"/>
      <c r="C163" s="35"/>
      <c r="D163" s="35"/>
      <c r="E163" s="35"/>
      <c r="F163" s="35"/>
      <c r="G163" s="35"/>
      <c r="H163" s="34"/>
      <c r="I163" s="36"/>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137"/>
      <c r="BK163" s="143"/>
      <c r="BL163" s="143"/>
      <c r="BM163" s="143"/>
      <c r="BN163" s="143"/>
      <c r="BO163" s="143"/>
      <c r="BP163" s="143"/>
      <c r="BQ163" s="143"/>
      <c r="BR163" s="143"/>
      <c r="BS163" s="143"/>
      <c r="BT163" s="143"/>
      <c r="BU163" s="143"/>
      <c r="BV163" s="143"/>
      <c r="BW163" s="143"/>
      <c r="BX163" s="143"/>
      <c r="BY163" s="143"/>
      <c r="BZ163" s="143"/>
      <c r="CA163" s="143"/>
      <c r="CB163" s="143"/>
      <c r="CC163" s="143"/>
      <c r="CD163" s="143"/>
    </row>
    <row r="164" spans="1:82" ht="16.5" customHeight="1" x14ac:dyDescent="0.15">
      <c r="A164" s="35"/>
      <c r="B164" s="35"/>
      <c r="C164" s="35"/>
      <c r="D164" s="35"/>
      <c r="E164" s="35"/>
      <c r="F164" s="35"/>
      <c r="G164" s="35"/>
      <c r="H164" s="34"/>
      <c r="I164" s="36"/>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137"/>
      <c r="BK164" s="143"/>
      <c r="BL164" s="143"/>
      <c r="BM164" s="143"/>
      <c r="BN164" s="143"/>
      <c r="BO164" s="143"/>
      <c r="BP164" s="143"/>
      <c r="BQ164" s="143"/>
      <c r="BR164" s="143"/>
      <c r="BS164" s="143"/>
      <c r="BT164" s="143"/>
      <c r="BU164" s="143"/>
      <c r="BV164" s="143"/>
      <c r="BW164" s="143"/>
      <c r="BX164" s="143"/>
      <c r="BY164" s="143"/>
      <c r="BZ164" s="143"/>
      <c r="CA164" s="143"/>
      <c r="CB164" s="143"/>
      <c r="CC164" s="143"/>
      <c r="CD164" s="143"/>
    </row>
    <row r="165" spans="1:82" ht="16.5" customHeight="1" x14ac:dyDescent="0.15">
      <c r="A165" s="35"/>
      <c r="B165" s="35"/>
      <c r="C165" s="35"/>
      <c r="D165" s="35"/>
      <c r="E165" s="35"/>
      <c r="F165" s="35"/>
      <c r="G165" s="35"/>
      <c r="H165" s="34"/>
      <c r="I165" s="36"/>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137"/>
      <c r="BK165" s="143"/>
      <c r="BL165" s="143"/>
      <c r="BM165" s="143"/>
      <c r="BN165" s="143"/>
      <c r="BO165" s="143"/>
      <c r="BP165" s="143"/>
      <c r="BQ165" s="143"/>
      <c r="BR165" s="143"/>
      <c r="BS165" s="143"/>
      <c r="BT165" s="143"/>
      <c r="BU165" s="143"/>
      <c r="BV165" s="143"/>
      <c r="BW165" s="143"/>
      <c r="BX165" s="143"/>
      <c r="BY165" s="143"/>
      <c r="BZ165" s="143"/>
      <c r="CA165" s="143"/>
      <c r="CB165" s="143"/>
      <c r="CC165" s="143"/>
      <c r="CD165" s="143"/>
    </row>
    <row r="166" spans="1:82" ht="16.5" customHeight="1" x14ac:dyDescent="0.15">
      <c r="A166" s="35"/>
      <c r="B166" s="35"/>
      <c r="C166" s="35"/>
      <c r="D166" s="35"/>
      <c r="E166" s="35"/>
      <c r="F166" s="35"/>
      <c r="G166" s="35"/>
      <c r="H166" s="34"/>
      <c r="I166" s="36"/>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137"/>
      <c r="BK166" s="143"/>
      <c r="BL166" s="143"/>
      <c r="BM166" s="143"/>
      <c r="BN166" s="143"/>
      <c r="BO166" s="143"/>
      <c r="BP166" s="143"/>
      <c r="BQ166" s="143"/>
      <c r="BR166" s="143"/>
      <c r="BS166" s="143"/>
      <c r="BT166" s="143"/>
      <c r="BU166" s="143"/>
      <c r="BV166" s="143"/>
      <c r="BW166" s="143"/>
      <c r="BX166" s="143"/>
      <c r="BY166" s="143"/>
      <c r="BZ166" s="143"/>
      <c r="CA166" s="143"/>
      <c r="CB166" s="143"/>
      <c r="CC166" s="143"/>
      <c r="CD166" s="143"/>
    </row>
    <row r="167" spans="1:82" ht="16.5" customHeight="1" x14ac:dyDescent="0.15">
      <c r="A167" s="35"/>
      <c r="B167" s="35"/>
      <c r="C167" s="35"/>
      <c r="D167" s="35"/>
      <c r="E167" s="35"/>
      <c r="F167" s="35"/>
      <c r="G167" s="35"/>
      <c r="H167" s="34"/>
      <c r="I167" s="36"/>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137"/>
      <c r="BK167" s="143"/>
      <c r="BL167" s="143"/>
      <c r="BM167" s="143"/>
      <c r="BN167" s="143"/>
      <c r="BO167" s="143"/>
      <c r="BP167" s="143"/>
      <c r="BQ167" s="143"/>
      <c r="BR167" s="143"/>
      <c r="BS167" s="143"/>
      <c r="BT167" s="143"/>
      <c r="BU167" s="143"/>
      <c r="BV167" s="143"/>
      <c r="BW167" s="143"/>
      <c r="BX167" s="143"/>
      <c r="BY167" s="143"/>
      <c r="BZ167" s="143"/>
      <c r="CA167" s="143"/>
      <c r="CB167" s="143"/>
      <c r="CC167" s="143"/>
      <c r="CD167" s="143"/>
    </row>
    <row r="168" spans="1:82" ht="16.5" customHeight="1" x14ac:dyDescent="0.15">
      <c r="A168" s="35"/>
      <c r="B168" s="35"/>
      <c r="C168" s="35"/>
      <c r="D168" s="35"/>
      <c r="E168" s="35"/>
      <c r="F168" s="35"/>
      <c r="G168" s="35"/>
      <c r="H168" s="34"/>
      <c r="I168" s="36"/>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137"/>
      <c r="BK168" s="143"/>
      <c r="BL168" s="143"/>
      <c r="BM168" s="143"/>
      <c r="BN168" s="143"/>
      <c r="BO168" s="143"/>
      <c r="BP168" s="143"/>
      <c r="BQ168" s="143"/>
      <c r="BR168" s="143"/>
      <c r="BS168" s="143"/>
      <c r="BT168" s="143"/>
      <c r="BU168" s="143"/>
      <c r="BV168" s="143"/>
      <c r="BW168" s="143"/>
      <c r="BX168" s="143"/>
      <c r="BY168" s="143"/>
      <c r="BZ168" s="143"/>
      <c r="CA168" s="143"/>
      <c r="CB168" s="143"/>
      <c r="CC168" s="143"/>
      <c r="CD168" s="143"/>
    </row>
    <row r="169" spans="1:82" ht="16.5" customHeight="1" x14ac:dyDescent="0.15">
      <c r="A169" s="35"/>
      <c r="B169" s="35"/>
      <c r="C169" s="35"/>
      <c r="D169" s="35"/>
      <c r="E169" s="35"/>
      <c r="F169" s="35"/>
      <c r="G169" s="35"/>
      <c r="H169" s="34"/>
      <c r="I169" s="36"/>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137"/>
      <c r="BK169" s="143"/>
      <c r="BL169" s="143"/>
      <c r="BM169" s="143"/>
      <c r="BN169" s="143"/>
      <c r="BO169" s="143"/>
      <c r="BP169" s="143"/>
      <c r="BQ169" s="143"/>
      <c r="BR169" s="143"/>
      <c r="BS169" s="143"/>
      <c r="BT169" s="143"/>
      <c r="BU169" s="143"/>
      <c r="BV169" s="143"/>
      <c r="BW169" s="143"/>
      <c r="BX169" s="143"/>
      <c r="BY169" s="143"/>
      <c r="BZ169" s="143"/>
      <c r="CA169" s="143"/>
      <c r="CB169" s="143"/>
      <c r="CC169" s="143"/>
      <c r="CD169" s="143"/>
    </row>
    <row r="170" spans="1:82" ht="16.5" customHeight="1" x14ac:dyDescent="0.15">
      <c r="A170" s="35"/>
      <c r="B170" s="35"/>
      <c r="C170" s="35"/>
      <c r="D170" s="35"/>
      <c r="E170" s="35"/>
      <c r="F170" s="35"/>
      <c r="G170" s="35"/>
      <c r="H170" s="34"/>
      <c r="I170" s="36"/>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137"/>
      <c r="BK170" s="143"/>
      <c r="BL170" s="143"/>
      <c r="BM170" s="143"/>
      <c r="BN170" s="143"/>
      <c r="BO170" s="143"/>
      <c r="BP170" s="143"/>
      <c r="BQ170" s="143"/>
      <c r="BR170" s="143"/>
      <c r="BS170" s="143"/>
      <c r="BT170" s="143"/>
      <c r="BU170" s="143"/>
      <c r="BV170" s="143"/>
      <c r="BW170" s="143"/>
      <c r="BX170" s="143"/>
      <c r="BY170" s="143"/>
      <c r="BZ170" s="143"/>
      <c r="CA170" s="143"/>
      <c r="CB170" s="143"/>
      <c r="CC170" s="143"/>
      <c r="CD170" s="143"/>
    </row>
    <row r="171" spans="1:82" ht="16.5" customHeight="1" x14ac:dyDescent="0.15">
      <c r="A171" s="35"/>
      <c r="B171" s="35"/>
      <c r="C171" s="35"/>
      <c r="D171" s="35"/>
      <c r="E171" s="35"/>
      <c r="F171" s="35"/>
      <c r="G171" s="35"/>
      <c r="H171" s="34"/>
      <c r="I171" s="36"/>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137"/>
      <c r="BK171" s="143"/>
      <c r="BL171" s="143"/>
      <c r="BM171" s="143"/>
      <c r="BN171" s="143"/>
      <c r="BO171" s="143"/>
      <c r="BP171" s="143"/>
      <c r="BQ171" s="143"/>
      <c r="BR171" s="143"/>
      <c r="BS171" s="143"/>
      <c r="BT171" s="143"/>
      <c r="BU171" s="143"/>
      <c r="BV171" s="143"/>
      <c r="BW171" s="143"/>
      <c r="BX171" s="143"/>
      <c r="BY171" s="143"/>
      <c r="BZ171" s="143"/>
      <c r="CA171" s="143"/>
      <c r="CB171" s="143"/>
      <c r="CC171" s="143"/>
      <c r="CD171" s="143"/>
    </row>
    <row r="172" spans="1:82" ht="16.5" customHeight="1" x14ac:dyDescent="0.15">
      <c r="A172" s="35"/>
      <c r="B172" s="35"/>
      <c r="C172" s="35"/>
      <c r="D172" s="35"/>
      <c r="E172" s="35"/>
      <c r="F172" s="35"/>
      <c r="G172" s="35"/>
      <c r="H172" s="34"/>
      <c r="I172" s="36"/>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137"/>
      <c r="BK172" s="143"/>
      <c r="BL172" s="143"/>
      <c r="BM172" s="143"/>
      <c r="BN172" s="143"/>
      <c r="BO172" s="143"/>
      <c r="BP172" s="143"/>
      <c r="BQ172" s="143"/>
      <c r="BR172" s="143"/>
      <c r="BS172" s="143"/>
      <c r="BT172" s="143"/>
      <c r="BU172" s="143"/>
      <c r="BV172" s="143"/>
      <c r="BW172" s="143"/>
      <c r="BX172" s="143"/>
      <c r="BY172" s="143"/>
      <c r="BZ172" s="143"/>
      <c r="CA172" s="143"/>
      <c r="CB172" s="143"/>
      <c r="CC172" s="143"/>
      <c r="CD172" s="143"/>
    </row>
    <row r="173" spans="1:82" ht="16.5" customHeight="1" x14ac:dyDescent="0.15">
      <c r="A173" s="35"/>
      <c r="B173" s="35"/>
      <c r="C173" s="35"/>
      <c r="D173" s="35"/>
      <c r="E173" s="35"/>
      <c r="F173" s="35"/>
      <c r="G173" s="35"/>
      <c r="H173" s="34"/>
      <c r="I173" s="36"/>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137"/>
      <c r="BK173" s="143"/>
      <c r="BL173" s="143"/>
      <c r="BM173" s="143"/>
      <c r="BN173" s="143"/>
      <c r="BO173" s="143"/>
      <c r="BP173" s="143"/>
      <c r="BQ173" s="143"/>
      <c r="BR173" s="143"/>
      <c r="BS173" s="143"/>
      <c r="BT173" s="143"/>
      <c r="BU173" s="143"/>
      <c r="BV173" s="143"/>
      <c r="BW173" s="143"/>
      <c r="BX173" s="143"/>
      <c r="BY173" s="143"/>
      <c r="BZ173" s="143"/>
      <c r="CA173" s="143"/>
      <c r="CB173" s="143"/>
      <c r="CC173" s="143"/>
      <c r="CD173" s="143"/>
    </row>
    <row r="174" spans="1:82" ht="16.5" customHeight="1" x14ac:dyDescent="0.15">
      <c r="A174" s="35"/>
      <c r="B174" s="35"/>
      <c r="C174" s="35"/>
      <c r="D174" s="35"/>
      <c r="E174" s="35"/>
      <c r="F174" s="35"/>
      <c r="G174" s="35"/>
      <c r="H174" s="34"/>
      <c r="I174" s="36"/>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137"/>
      <c r="BK174" s="143"/>
      <c r="BL174" s="143"/>
      <c r="BM174" s="143"/>
      <c r="BN174" s="143"/>
      <c r="BO174" s="143"/>
      <c r="BP174" s="143"/>
      <c r="BQ174" s="143"/>
      <c r="BR174" s="143"/>
      <c r="BS174" s="143"/>
      <c r="BT174" s="143"/>
      <c r="BU174" s="143"/>
      <c r="BV174" s="143"/>
      <c r="BW174" s="143"/>
      <c r="BX174" s="143"/>
      <c r="BY174" s="143"/>
      <c r="BZ174" s="143"/>
      <c r="CA174" s="143"/>
      <c r="CB174" s="143"/>
      <c r="CC174" s="143"/>
      <c r="CD174" s="143"/>
    </row>
    <row r="175" spans="1:82" ht="16.5" customHeight="1" x14ac:dyDescent="0.15">
      <c r="A175" s="35"/>
      <c r="B175" s="35"/>
      <c r="C175" s="35"/>
      <c r="D175" s="35"/>
      <c r="E175" s="35"/>
      <c r="F175" s="35"/>
      <c r="G175" s="35"/>
      <c r="H175" s="34"/>
      <c r="I175" s="36"/>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137"/>
      <c r="BK175" s="143"/>
      <c r="BL175" s="143"/>
      <c r="BM175" s="143"/>
      <c r="BN175" s="143"/>
      <c r="BO175" s="143"/>
      <c r="BP175" s="143"/>
      <c r="BQ175" s="143"/>
      <c r="BR175" s="143"/>
      <c r="BS175" s="143"/>
      <c r="BT175" s="143"/>
      <c r="BU175" s="143"/>
      <c r="BV175" s="143"/>
      <c r="BW175" s="143"/>
      <c r="BX175" s="143"/>
      <c r="BY175" s="143"/>
      <c r="BZ175" s="143"/>
      <c r="CA175" s="143"/>
      <c r="CB175" s="143"/>
      <c r="CC175" s="143"/>
      <c r="CD175" s="143"/>
    </row>
    <row r="176" spans="1:82" ht="16.5" customHeight="1" x14ac:dyDescent="0.15">
      <c r="A176" s="35"/>
      <c r="B176" s="35"/>
      <c r="C176" s="35"/>
      <c r="D176" s="35"/>
      <c r="E176" s="35"/>
      <c r="F176" s="35"/>
      <c r="G176" s="35"/>
      <c r="H176" s="34"/>
      <c r="I176" s="36"/>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137"/>
      <c r="BK176" s="143"/>
      <c r="BL176" s="143"/>
      <c r="BM176" s="143"/>
      <c r="BN176" s="143"/>
      <c r="BO176" s="143"/>
      <c r="BP176" s="143"/>
      <c r="BQ176" s="143"/>
      <c r="BR176" s="143"/>
      <c r="BS176" s="143"/>
      <c r="BT176" s="143"/>
      <c r="BU176" s="143"/>
      <c r="BV176" s="143"/>
      <c r="BW176" s="143"/>
      <c r="BX176" s="143"/>
      <c r="BY176" s="143"/>
      <c r="BZ176" s="143"/>
      <c r="CA176" s="143"/>
      <c r="CB176" s="143"/>
      <c r="CC176" s="143"/>
      <c r="CD176" s="143"/>
    </row>
    <row r="177" spans="1:82" ht="16.5" customHeight="1" x14ac:dyDescent="0.15">
      <c r="A177" s="35"/>
      <c r="B177" s="35"/>
      <c r="C177" s="35"/>
      <c r="D177" s="35"/>
      <c r="E177" s="35"/>
      <c r="F177" s="35"/>
      <c r="G177" s="35"/>
      <c r="H177" s="34"/>
      <c r="I177" s="36"/>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137"/>
      <c r="BK177" s="143"/>
      <c r="BL177" s="143"/>
      <c r="BM177" s="143"/>
      <c r="BN177" s="143"/>
      <c r="BO177" s="143"/>
      <c r="BP177" s="143"/>
      <c r="BQ177" s="143"/>
      <c r="BR177" s="143"/>
      <c r="BS177" s="143"/>
      <c r="BT177" s="143"/>
      <c r="BU177" s="143"/>
      <c r="BV177" s="143"/>
      <c r="BW177" s="143"/>
      <c r="BX177" s="143"/>
      <c r="BY177" s="143"/>
      <c r="BZ177" s="143"/>
      <c r="CA177" s="143"/>
      <c r="CB177" s="143"/>
      <c r="CC177" s="143"/>
      <c r="CD177" s="143"/>
    </row>
    <row r="178" spans="1:82" ht="16.5" customHeight="1" x14ac:dyDescent="0.15">
      <c r="A178" s="35"/>
      <c r="B178" s="35"/>
      <c r="C178" s="35"/>
      <c r="D178" s="35"/>
      <c r="E178" s="35"/>
      <c r="F178" s="35"/>
      <c r="G178" s="35"/>
      <c r="H178" s="34"/>
      <c r="I178" s="36"/>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137"/>
      <c r="BK178" s="143"/>
      <c r="BL178" s="143"/>
      <c r="BM178" s="143"/>
      <c r="BN178" s="143"/>
      <c r="BO178" s="143"/>
      <c r="BP178" s="143"/>
      <c r="BQ178" s="143"/>
      <c r="BR178" s="143"/>
      <c r="BS178" s="143"/>
      <c r="BT178" s="143"/>
      <c r="BU178" s="143"/>
      <c r="BV178" s="143"/>
      <c r="BW178" s="143"/>
      <c r="BX178" s="143"/>
      <c r="BY178" s="143"/>
      <c r="BZ178" s="143"/>
      <c r="CA178" s="143"/>
      <c r="CB178" s="143"/>
      <c r="CC178" s="143"/>
      <c r="CD178" s="143"/>
    </row>
    <row r="179" spans="1:82" ht="16.5" customHeight="1" x14ac:dyDescent="0.15">
      <c r="A179" s="35"/>
      <c r="B179" s="35"/>
      <c r="C179" s="35"/>
      <c r="D179" s="35"/>
      <c r="E179" s="35"/>
      <c r="F179" s="35"/>
      <c r="G179" s="35"/>
      <c r="H179" s="34"/>
      <c r="I179" s="36"/>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137"/>
      <c r="BK179" s="143"/>
      <c r="BL179" s="143"/>
      <c r="BM179" s="143"/>
      <c r="BN179" s="143"/>
      <c r="BO179" s="143"/>
      <c r="BP179" s="143"/>
      <c r="BQ179" s="143"/>
      <c r="BR179" s="143"/>
      <c r="BS179" s="143"/>
      <c r="BT179" s="143"/>
      <c r="BU179" s="143"/>
      <c r="BV179" s="143"/>
      <c r="BW179" s="143"/>
      <c r="BX179" s="143"/>
      <c r="BY179" s="143"/>
      <c r="BZ179" s="143"/>
      <c r="CA179" s="143"/>
      <c r="CB179" s="143"/>
      <c r="CC179" s="143"/>
      <c r="CD179" s="143"/>
    </row>
    <row r="180" spans="1:82" ht="16.5" customHeight="1" x14ac:dyDescent="0.15">
      <c r="A180" s="35"/>
      <c r="B180" s="35"/>
      <c r="C180" s="35"/>
      <c r="D180" s="35"/>
      <c r="E180" s="35"/>
      <c r="F180" s="35"/>
      <c r="G180" s="35"/>
      <c r="H180" s="34"/>
      <c r="I180" s="36"/>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137"/>
      <c r="BK180" s="143"/>
      <c r="BL180" s="143"/>
      <c r="BM180" s="143"/>
      <c r="BN180" s="143"/>
      <c r="BO180" s="143"/>
      <c r="BP180" s="143"/>
      <c r="BQ180" s="143"/>
      <c r="BR180" s="143"/>
      <c r="BS180" s="143"/>
      <c r="BT180" s="143"/>
      <c r="BU180" s="143"/>
      <c r="BV180" s="143"/>
      <c r="BW180" s="143"/>
      <c r="BX180" s="143"/>
      <c r="BY180" s="143"/>
      <c r="BZ180" s="143"/>
      <c r="CA180" s="143"/>
      <c r="CB180" s="143"/>
      <c r="CC180" s="143"/>
      <c r="CD180" s="143"/>
    </row>
    <row r="181" spans="1:82" ht="16.5" customHeight="1" x14ac:dyDescent="0.15">
      <c r="A181" s="35"/>
      <c r="B181" s="35"/>
      <c r="C181" s="35"/>
      <c r="D181" s="35"/>
      <c r="E181" s="35"/>
      <c r="F181" s="35"/>
      <c r="G181" s="35"/>
      <c r="H181" s="34"/>
      <c r="I181" s="36"/>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137"/>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row>
    <row r="182" spans="1:82" ht="16.5" customHeight="1" x14ac:dyDescent="0.15">
      <c r="A182" s="35"/>
      <c r="B182" s="35"/>
      <c r="C182" s="35"/>
      <c r="D182" s="35"/>
      <c r="E182" s="35"/>
      <c r="F182" s="35"/>
      <c r="G182" s="35"/>
      <c r="H182" s="34"/>
      <c r="I182" s="36"/>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137"/>
      <c r="BK182" s="143"/>
      <c r="BL182" s="143"/>
      <c r="BM182" s="143"/>
      <c r="BN182" s="143"/>
      <c r="BO182" s="143"/>
      <c r="BP182" s="143"/>
      <c r="BQ182" s="143"/>
      <c r="BR182" s="143"/>
      <c r="BS182" s="143"/>
      <c r="BT182" s="143"/>
      <c r="BU182" s="143"/>
      <c r="BV182" s="143"/>
      <c r="BW182" s="143"/>
      <c r="BX182" s="143"/>
      <c r="BY182" s="143"/>
      <c r="BZ182" s="143"/>
      <c r="CA182" s="143"/>
      <c r="CB182" s="143"/>
      <c r="CC182" s="143"/>
      <c r="CD182" s="143"/>
    </row>
    <row r="183" spans="1:82" ht="16.5" customHeight="1" x14ac:dyDescent="0.15">
      <c r="A183" s="35"/>
      <c r="B183" s="35"/>
      <c r="C183" s="35"/>
      <c r="D183" s="35"/>
      <c r="E183" s="35"/>
      <c r="F183" s="35"/>
      <c r="G183" s="35"/>
      <c r="H183" s="34"/>
      <c r="I183" s="36"/>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137"/>
      <c r="BK183" s="143"/>
      <c r="BL183" s="143"/>
      <c r="BM183" s="143"/>
      <c r="BN183" s="143"/>
      <c r="BO183" s="143"/>
      <c r="BP183" s="143"/>
      <c r="BQ183" s="143"/>
      <c r="BR183" s="143"/>
      <c r="BS183" s="143"/>
      <c r="BT183" s="143"/>
      <c r="BU183" s="143"/>
      <c r="BV183" s="143"/>
      <c r="BW183" s="143"/>
      <c r="BX183" s="143"/>
      <c r="BY183" s="143"/>
      <c r="BZ183" s="143"/>
      <c r="CA183" s="143"/>
      <c r="CB183" s="143"/>
      <c r="CC183" s="143"/>
      <c r="CD183" s="143"/>
    </row>
    <row r="184" spans="1:82" ht="16.5" customHeight="1" x14ac:dyDescent="0.15">
      <c r="A184" s="35"/>
      <c r="B184" s="35"/>
      <c r="C184" s="35"/>
      <c r="D184" s="35"/>
      <c r="E184" s="35"/>
      <c r="F184" s="35"/>
      <c r="G184" s="35"/>
      <c r="H184" s="34"/>
      <c r="I184" s="36"/>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137"/>
      <c r="BK184" s="143"/>
      <c r="BL184" s="143"/>
      <c r="BM184" s="143"/>
      <c r="BN184" s="143"/>
      <c r="BO184" s="143"/>
      <c r="BP184" s="143"/>
      <c r="BQ184" s="143"/>
      <c r="BR184" s="143"/>
      <c r="BS184" s="143"/>
      <c r="BT184" s="143"/>
      <c r="BU184" s="143"/>
      <c r="BV184" s="143"/>
      <c r="BW184" s="143"/>
      <c r="BX184" s="143"/>
      <c r="BY184" s="143"/>
      <c r="BZ184" s="143"/>
      <c r="CA184" s="143"/>
      <c r="CB184" s="143"/>
      <c r="CC184" s="143"/>
      <c r="CD184" s="143"/>
    </row>
    <row r="185" spans="1:82" ht="16.5" customHeight="1" x14ac:dyDescent="0.15">
      <c r="A185" s="35"/>
      <c r="B185" s="35"/>
      <c r="C185" s="35"/>
      <c r="D185" s="35"/>
      <c r="E185" s="35"/>
      <c r="F185" s="35"/>
      <c r="G185" s="35"/>
      <c r="H185" s="34"/>
      <c r="I185" s="36"/>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137"/>
      <c r="BK185" s="143"/>
      <c r="BL185" s="143"/>
      <c r="BM185" s="143"/>
      <c r="BN185" s="143"/>
      <c r="BO185" s="143"/>
      <c r="BP185" s="143"/>
      <c r="BQ185" s="143"/>
      <c r="BR185" s="143"/>
      <c r="BS185" s="143"/>
      <c r="BT185" s="143"/>
      <c r="BU185" s="143"/>
      <c r="BV185" s="143"/>
      <c r="BW185" s="143"/>
      <c r="BX185" s="143"/>
      <c r="BY185" s="143"/>
      <c r="BZ185" s="143"/>
      <c r="CA185" s="143"/>
      <c r="CB185" s="143"/>
      <c r="CC185" s="143"/>
      <c r="CD185" s="143"/>
    </row>
    <row r="186" spans="1:82" ht="16.5" customHeight="1" x14ac:dyDescent="0.15">
      <c r="A186" s="35"/>
      <c r="B186" s="35"/>
      <c r="C186" s="35"/>
      <c r="D186" s="35"/>
      <c r="E186" s="35"/>
      <c r="F186" s="35"/>
      <c r="G186" s="35"/>
      <c r="H186" s="34"/>
      <c r="I186" s="36"/>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137"/>
      <c r="BK186" s="143"/>
      <c r="BL186" s="143"/>
      <c r="BM186" s="143"/>
      <c r="BN186" s="143"/>
      <c r="BO186" s="143"/>
      <c r="BP186" s="143"/>
      <c r="BQ186" s="143"/>
      <c r="BR186" s="143"/>
      <c r="BS186" s="143"/>
      <c r="BT186" s="143"/>
      <c r="BU186" s="143"/>
      <c r="BV186" s="143"/>
      <c r="BW186" s="143"/>
      <c r="BX186" s="143"/>
      <c r="BY186" s="143"/>
      <c r="BZ186" s="143"/>
      <c r="CA186" s="143"/>
      <c r="CB186" s="143"/>
      <c r="CC186" s="143"/>
      <c r="CD186" s="143"/>
    </row>
    <row r="187" spans="1:82" ht="16.5" customHeight="1" x14ac:dyDescent="0.15">
      <c r="A187" s="35"/>
      <c r="B187" s="35"/>
      <c r="C187" s="35"/>
      <c r="D187" s="35"/>
      <c r="E187" s="35"/>
      <c r="F187" s="35"/>
      <c r="G187" s="35"/>
      <c r="H187" s="34"/>
      <c r="I187" s="36"/>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137"/>
      <c r="BK187" s="143"/>
      <c r="BL187" s="143"/>
      <c r="BM187" s="143"/>
      <c r="BN187" s="143"/>
      <c r="BO187" s="143"/>
      <c r="BP187" s="143"/>
      <c r="BQ187" s="143"/>
      <c r="BR187" s="143"/>
      <c r="BS187" s="143"/>
      <c r="BT187" s="143"/>
      <c r="BU187" s="143"/>
      <c r="BV187" s="143"/>
      <c r="BW187" s="143"/>
      <c r="BX187" s="143"/>
      <c r="BY187" s="143"/>
      <c r="BZ187" s="143"/>
      <c r="CA187" s="143"/>
      <c r="CB187" s="143"/>
      <c r="CC187" s="143"/>
      <c r="CD187" s="143"/>
    </row>
    <row r="188" spans="1:82" ht="16.5" customHeight="1" x14ac:dyDescent="0.15">
      <c r="A188" s="35"/>
      <c r="B188" s="35"/>
      <c r="C188" s="35"/>
      <c r="D188" s="35"/>
      <c r="E188" s="35"/>
      <c r="F188" s="35"/>
      <c r="G188" s="35"/>
      <c r="H188" s="34"/>
      <c r="I188" s="36"/>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137"/>
      <c r="BK188" s="143"/>
      <c r="BL188" s="143"/>
      <c r="BM188" s="143"/>
      <c r="BN188" s="143"/>
      <c r="BO188" s="143"/>
      <c r="BP188" s="143"/>
      <c r="BQ188" s="143"/>
      <c r="BR188" s="143"/>
      <c r="BS188" s="143"/>
      <c r="BT188" s="143"/>
      <c r="BU188" s="143"/>
      <c r="BV188" s="143"/>
      <c r="BW188" s="143"/>
      <c r="BX188" s="143"/>
      <c r="BY188" s="143"/>
      <c r="BZ188" s="143"/>
      <c r="CA188" s="143"/>
      <c r="CB188" s="143"/>
      <c r="CC188" s="143"/>
      <c r="CD188" s="143"/>
    </row>
    <row r="189" spans="1:82" ht="16.5" customHeight="1" x14ac:dyDescent="0.15">
      <c r="A189" s="35"/>
      <c r="B189" s="35"/>
      <c r="C189" s="35"/>
      <c r="D189" s="35"/>
      <c r="E189" s="35"/>
      <c r="F189" s="35"/>
      <c r="G189" s="35"/>
      <c r="H189" s="34"/>
      <c r="I189" s="36"/>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137"/>
      <c r="BK189" s="143"/>
      <c r="BL189" s="143"/>
      <c r="BM189" s="143"/>
      <c r="BN189" s="143"/>
      <c r="BO189" s="143"/>
      <c r="BP189" s="143"/>
      <c r="BQ189" s="143"/>
      <c r="BR189" s="143"/>
      <c r="BS189" s="143"/>
      <c r="BT189" s="143"/>
      <c r="BU189" s="143"/>
      <c r="BV189" s="143"/>
      <c r="BW189" s="143"/>
      <c r="BX189" s="143"/>
      <c r="BY189" s="143"/>
      <c r="BZ189" s="143"/>
      <c r="CA189" s="143"/>
      <c r="CB189" s="143"/>
      <c r="CC189" s="143"/>
      <c r="CD189" s="143"/>
    </row>
    <row r="190" spans="1:82" ht="16.5" customHeight="1" x14ac:dyDescent="0.15">
      <c r="A190" s="35"/>
      <c r="B190" s="35"/>
      <c r="C190" s="35"/>
      <c r="D190" s="35"/>
      <c r="E190" s="35"/>
      <c r="F190" s="35"/>
      <c r="G190" s="35"/>
      <c r="H190" s="34"/>
      <c r="I190" s="36"/>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137"/>
      <c r="BK190" s="143"/>
      <c r="BL190" s="143"/>
      <c r="BM190" s="143"/>
      <c r="BN190" s="143"/>
      <c r="BO190" s="143"/>
      <c r="BP190" s="143"/>
      <c r="BQ190" s="143"/>
      <c r="BR190" s="143"/>
      <c r="BS190" s="143"/>
      <c r="BT190" s="143"/>
      <c r="BU190" s="143"/>
      <c r="BV190" s="143"/>
      <c r="BW190" s="143"/>
      <c r="BX190" s="143"/>
      <c r="BY190" s="143"/>
      <c r="BZ190" s="143"/>
      <c r="CA190" s="143"/>
      <c r="CB190" s="143"/>
      <c r="CC190" s="143"/>
      <c r="CD190" s="143"/>
    </row>
    <row r="191" spans="1:82" ht="16.5" customHeight="1" x14ac:dyDescent="0.15">
      <c r="A191" s="35"/>
      <c r="B191" s="35"/>
      <c r="C191" s="35"/>
      <c r="D191" s="35"/>
      <c r="E191" s="35"/>
      <c r="F191" s="35"/>
      <c r="G191" s="35"/>
      <c r="H191" s="34"/>
      <c r="I191" s="36"/>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137"/>
      <c r="BK191" s="143"/>
      <c r="BL191" s="143"/>
      <c r="BM191" s="143"/>
      <c r="BN191" s="143"/>
      <c r="BO191" s="143"/>
      <c r="BP191" s="143"/>
      <c r="BQ191" s="143"/>
      <c r="BR191" s="143"/>
      <c r="BS191" s="143"/>
      <c r="BT191" s="143"/>
      <c r="BU191" s="143"/>
      <c r="BV191" s="143"/>
      <c r="BW191" s="143"/>
      <c r="BX191" s="143"/>
      <c r="BY191" s="143"/>
      <c r="BZ191" s="143"/>
      <c r="CA191" s="143"/>
      <c r="CB191" s="143"/>
      <c r="CC191" s="143"/>
      <c r="CD191" s="143"/>
    </row>
    <row r="192" spans="1:82" ht="16.5" customHeight="1" x14ac:dyDescent="0.15">
      <c r="A192" s="35"/>
      <c r="B192" s="35"/>
      <c r="C192" s="35"/>
      <c r="D192" s="35"/>
      <c r="E192" s="35"/>
      <c r="F192" s="35"/>
      <c r="G192" s="35"/>
      <c r="H192" s="34"/>
      <c r="I192" s="36"/>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137"/>
      <c r="BK192" s="143"/>
      <c r="BL192" s="143"/>
      <c r="BM192" s="143"/>
      <c r="BN192" s="143"/>
      <c r="BO192" s="143"/>
      <c r="BP192" s="143"/>
      <c r="BQ192" s="143"/>
      <c r="BR192" s="143"/>
      <c r="BS192" s="143"/>
      <c r="BT192" s="143"/>
      <c r="BU192" s="143"/>
      <c r="BV192" s="143"/>
      <c r="BW192" s="143"/>
      <c r="BX192" s="143"/>
      <c r="BY192" s="143"/>
      <c r="BZ192" s="143"/>
      <c r="CA192" s="143"/>
      <c r="CB192" s="143"/>
      <c r="CC192" s="143"/>
      <c r="CD192" s="143"/>
    </row>
    <row r="193" spans="1:82" ht="16.5" customHeight="1" x14ac:dyDescent="0.15">
      <c r="A193" s="35"/>
      <c r="B193" s="35"/>
      <c r="C193" s="35"/>
      <c r="D193" s="35"/>
      <c r="E193" s="35"/>
      <c r="F193" s="35"/>
      <c r="G193" s="35"/>
      <c r="H193" s="34"/>
      <c r="I193" s="36"/>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137"/>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row>
    <row r="194" spans="1:82" ht="16.5" customHeight="1" x14ac:dyDescent="0.15">
      <c r="A194" s="35"/>
      <c r="B194" s="35"/>
      <c r="C194" s="35"/>
      <c r="D194" s="35"/>
      <c r="E194" s="35"/>
      <c r="F194" s="35"/>
      <c r="G194" s="35"/>
      <c r="H194" s="34"/>
      <c r="I194" s="36"/>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137"/>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row>
    <row r="195" spans="1:82" ht="16.5" customHeight="1" x14ac:dyDescent="0.15">
      <c r="A195" s="35"/>
      <c r="B195" s="35"/>
      <c r="C195" s="35"/>
      <c r="D195" s="35"/>
      <c r="E195" s="35"/>
      <c r="F195" s="35"/>
      <c r="G195" s="35"/>
      <c r="H195" s="34"/>
      <c r="I195" s="36"/>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137"/>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row>
    <row r="196" spans="1:82" ht="16.5" customHeight="1" x14ac:dyDescent="0.15">
      <c r="A196" s="35"/>
      <c r="B196" s="35"/>
      <c r="C196" s="35"/>
      <c r="D196" s="35"/>
      <c r="E196" s="35"/>
      <c r="F196" s="35"/>
      <c r="G196" s="35"/>
      <c r="H196" s="34"/>
      <c r="I196" s="36"/>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137"/>
      <c r="BK196" s="143"/>
      <c r="BL196" s="143"/>
      <c r="BM196" s="143"/>
      <c r="BN196" s="143"/>
      <c r="BO196" s="143"/>
      <c r="BP196" s="143"/>
      <c r="BQ196" s="143"/>
      <c r="BR196" s="143"/>
      <c r="BS196" s="143"/>
      <c r="BT196" s="143"/>
      <c r="BU196" s="143"/>
      <c r="BV196" s="143"/>
      <c r="BW196" s="143"/>
      <c r="BX196" s="143"/>
      <c r="BY196" s="143"/>
      <c r="BZ196" s="143"/>
      <c r="CA196" s="143"/>
      <c r="CB196" s="143"/>
      <c r="CC196" s="143"/>
      <c r="CD196" s="143"/>
    </row>
    <row r="197" spans="1:82" ht="16.5" customHeight="1" x14ac:dyDescent="0.15">
      <c r="A197" s="35"/>
      <c r="B197" s="35"/>
      <c r="C197" s="35"/>
      <c r="D197" s="35"/>
      <c r="E197" s="35"/>
      <c r="F197" s="35"/>
      <c r="G197" s="35"/>
      <c r="H197" s="34"/>
      <c r="I197" s="36"/>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137"/>
      <c r="BK197" s="143"/>
      <c r="BL197" s="143"/>
      <c r="BM197" s="143"/>
      <c r="BN197" s="143"/>
      <c r="BO197" s="143"/>
      <c r="BP197" s="143"/>
      <c r="BQ197" s="143"/>
      <c r="BR197" s="143"/>
      <c r="BS197" s="143"/>
      <c r="BT197" s="143"/>
      <c r="BU197" s="143"/>
      <c r="BV197" s="143"/>
      <c r="BW197" s="143"/>
      <c r="BX197" s="143"/>
      <c r="BY197" s="143"/>
      <c r="BZ197" s="143"/>
      <c r="CA197" s="143"/>
      <c r="CB197" s="143"/>
      <c r="CC197" s="143"/>
      <c r="CD197" s="143"/>
    </row>
    <row r="198" spans="1:82" ht="16.5" customHeight="1" x14ac:dyDescent="0.15">
      <c r="A198" s="35"/>
      <c r="B198" s="35"/>
      <c r="C198" s="35"/>
      <c r="D198" s="35"/>
      <c r="E198" s="35"/>
      <c r="F198" s="35"/>
      <c r="G198" s="35"/>
      <c r="H198" s="34"/>
      <c r="I198" s="36"/>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137"/>
      <c r="BK198" s="143"/>
      <c r="BL198" s="143"/>
      <c r="BM198" s="143"/>
      <c r="BN198" s="143"/>
      <c r="BO198" s="143"/>
      <c r="BP198" s="143"/>
      <c r="BQ198" s="143"/>
      <c r="BR198" s="143"/>
      <c r="BS198" s="143"/>
      <c r="BT198" s="143"/>
      <c r="BU198" s="143"/>
      <c r="BV198" s="143"/>
      <c r="BW198" s="143"/>
      <c r="BX198" s="143"/>
      <c r="BY198" s="143"/>
      <c r="BZ198" s="143"/>
      <c r="CA198" s="143"/>
      <c r="CB198" s="143"/>
      <c r="CC198" s="143"/>
      <c r="CD198" s="143"/>
    </row>
    <row r="199" spans="1:82" ht="16.5" customHeight="1" x14ac:dyDescent="0.15">
      <c r="A199" s="35"/>
      <c r="B199" s="35"/>
      <c r="C199" s="35"/>
      <c r="D199" s="35"/>
      <c r="E199" s="35"/>
      <c r="F199" s="35"/>
      <c r="G199" s="35"/>
      <c r="H199" s="34"/>
      <c r="I199" s="36"/>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137"/>
      <c r="BK199" s="143"/>
      <c r="BL199" s="143"/>
      <c r="BM199" s="143"/>
      <c r="BN199" s="143"/>
      <c r="BO199" s="143"/>
      <c r="BP199" s="143"/>
      <c r="BQ199" s="143"/>
      <c r="BR199" s="143"/>
      <c r="BS199" s="143"/>
      <c r="BT199" s="143"/>
      <c r="BU199" s="143"/>
      <c r="BV199" s="143"/>
      <c r="BW199" s="143"/>
      <c r="BX199" s="143"/>
      <c r="BY199" s="143"/>
      <c r="BZ199" s="143"/>
      <c r="CA199" s="143"/>
      <c r="CB199" s="143"/>
      <c r="CC199" s="143"/>
      <c r="CD199" s="143"/>
    </row>
    <row r="200" spans="1:82" ht="16.5" customHeight="1" x14ac:dyDescent="0.15">
      <c r="A200" s="35"/>
      <c r="B200" s="35"/>
      <c r="C200" s="35"/>
      <c r="D200" s="35"/>
      <c r="E200" s="35"/>
      <c r="F200" s="35"/>
      <c r="G200" s="35"/>
      <c r="H200" s="34"/>
      <c r="I200" s="36"/>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137"/>
      <c r="BK200" s="143"/>
      <c r="BL200" s="143"/>
      <c r="BM200" s="143"/>
      <c r="BN200" s="143"/>
      <c r="BO200" s="143"/>
      <c r="BP200" s="143"/>
      <c r="BQ200" s="143"/>
      <c r="BR200" s="143"/>
      <c r="BS200" s="143"/>
      <c r="BT200" s="143"/>
      <c r="BU200" s="143"/>
      <c r="BV200" s="143"/>
      <c r="BW200" s="143"/>
      <c r="BX200" s="143"/>
      <c r="BY200" s="143"/>
      <c r="BZ200" s="143"/>
      <c r="CA200" s="143"/>
      <c r="CB200" s="143"/>
      <c r="CC200" s="143"/>
      <c r="CD200" s="143"/>
    </row>
    <row r="201" spans="1:82" ht="16.5" customHeight="1" x14ac:dyDescent="0.15">
      <c r="A201" s="35"/>
      <c r="B201" s="35"/>
      <c r="C201" s="35"/>
      <c r="D201" s="35"/>
      <c r="E201" s="35"/>
      <c r="F201" s="35"/>
      <c r="G201" s="35"/>
      <c r="H201" s="34"/>
      <c r="I201" s="36"/>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137"/>
      <c r="BK201" s="143"/>
      <c r="BL201" s="143"/>
      <c r="BM201" s="143"/>
      <c r="BN201" s="143"/>
      <c r="BO201" s="143"/>
      <c r="BP201" s="143"/>
      <c r="BQ201" s="143"/>
      <c r="BR201" s="143"/>
      <c r="BS201" s="143"/>
      <c r="BT201" s="143"/>
      <c r="BU201" s="143"/>
      <c r="BV201" s="143"/>
      <c r="BW201" s="143"/>
      <c r="BX201" s="143"/>
      <c r="BY201" s="143"/>
      <c r="BZ201" s="143"/>
      <c r="CA201" s="143"/>
      <c r="CB201" s="143"/>
      <c r="CC201" s="143"/>
      <c r="CD201" s="143"/>
    </row>
    <row r="202" spans="1:82" ht="16.5" customHeight="1" x14ac:dyDescent="0.15">
      <c r="A202" s="35"/>
      <c r="B202" s="35"/>
      <c r="C202" s="35"/>
      <c r="D202" s="35"/>
      <c r="E202" s="35"/>
      <c r="F202" s="35"/>
      <c r="G202" s="35"/>
      <c r="H202" s="34"/>
      <c r="I202" s="36"/>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137"/>
      <c r="BK202" s="143"/>
      <c r="BL202" s="143"/>
      <c r="BM202" s="143"/>
      <c r="BN202" s="143"/>
      <c r="BO202" s="143"/>
      <c r="BP202" s="143"/>
      <c r="BQ202" s="143"/>
      <c r="BR202" s="143"/>
      <c r="BS202" s="143"/>
      <c r="BT202" s="143"/>
      <c r="BU202" s="143"/>
      <c r="BV202" s="143"/>
      <c r="BW202" s="143"/>
      <c r="BX202" s="143"/>
      <c r="BY202" s="143"/>
      <c r="BZ202" s="143"/>
      <c r="CA202" s="143"/>
      <c r="CB202" s="143"/>
      <c r="CC202" s="143"/>
      <c r="CD202" s="143"/>
    </row>
    <row r="203" spans="1:82" ht="16.5" customHeight="1" x14ac:dyDescent="0.15">
      <c r="A203" s="35"/>
      <c r="B203" s="35"/>
      <c r="C203" s="35"/>
      <c r="D203" s="35"/>
      <c r="E203" s="35"/>
      <c r="F203" s="35"/>
      <c r="G203" s="35"/>
      <c r="H203" s="34"/>
      <c r="I203" s="3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137"/>
      <c r="BK203" s="143"/>
      <c r="BL203" s="143"/>
      <c r="BM203" s="143"/>
      <c r="BN203" s="143"/>
      <c r="BO203" s="143"/>
      <c r="BP203" s="143"/>
      <c r="BQ203" s="143"/>
      <c r="BR203" s="143"/>
      <c r="BS203" s="143"/>
      <c r="BT203" s="143"/>
      <c r="BU203" s="143"/>
      <c r="BV203" s="143"/>
      <c r="BW203" s="143"/>
      <c r="BX203" s="143"/>
      <c r="BY203" s="143"/>
      <c r="BZ203" s="143"/>
      <c r="CA203" s="143"/>
      <c r="CB203" s="143"/>
      <c r="CC203" s="143"/>
      <c r="CD203" s="143"/>
    </row>
    <row r="204" spans="1:82" ht="16.5" customHeight="1" x14ac:dyDescent="0.15">
      <c r="A204" s="35"/>
      <c r="B204" s="35"/>
      <c r="C204" s="35"/>
      <c r="D204" s="35"/>
      <c r="E204" s="35"/>
      <c r="F204" s="35"/>
      <c r="G204" s="35"/>
      <c r="H204" s="34"/>
      <c r="I204" s="36"/>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137"/>
      <c r="BK204" s="143"/>
      <c r="BL204" s="143"/>
      <c r="BM204" s="143"/>
      <c r="BN204" s="143"/>
      <c r="BO204" s="143"/>
      <c r="BP204" s="143"/>
      <c r="BQ204" s="143"/>
      <c r="BR204" s="143"/>
      <c r="BS204" s="143"/>
      <c r="BT204" s="143"/>
      <c r="BU204" s="143"/>
      <c r="BV204" s="143"/>
      <c r="BW204" s="143"/>
      <c r="BX204" s="143"/>
      <c r="BY204" s="143"/>
      <c r="BZ204" s="143"/>
      <c r="CA204" s="143"/>
      <c r="CB204" s="143"/>
      <c r="CC204" s="143"/>
      <c r="CD204" s="143"/>
    </row>
    <row r="205" spans="1:82" ht="16.5" customHeight="1" x14ac:dyDescent="0.15">
      <c r="A205" s="35"/>
      <c r="B205" s="35"/>
      <c r="C205" s="35"/>
      <c r="D205" s="35"/>
      <c r="E205" s="35"/>
      <c r="F205" s="35"/>
      <c r="G205" s="35"/>
      <c r="H205" s="34"/>
      <c r="I205" s="36"/>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137"/>
      <c r="BK205" s="143"/>
      <c r="BL205" s="143"/>
      <c r="BM205" s="143"/>
      <c r="BN205" s="143"/>
      <c r="BO205" s="143"/>
      <c r="BP205" s="143"/>
      <c r="BQ205" s="143"/>
      <c r="BR205" s="143"/>
      <c r="BS205" s="143"/>
      <c r="BT205" s="143"/>
      <c r="BU205" s="143"/>
      <c r="BV205" s="143"/>
      <c r="BW205" s="143"/>
      <c r="BX205" s="143"/>
      <c r="BY205" s="143"/>
      <c r="BZ205" s="143"/>
      <c r="CA205" s="143"/>
      <c r="CB205" s="143"/>
      <c r="CC205" s="143"/>
      <c r="CD205" s="143"/>
    </row>
    <row r="206" spans="1:82" ht="16.5" customHeight="1" x14ac:dyDescent="0.15">
      <c r="A206" s="35"/>
      <c r="B206" s="35"/>
      <c r="C206" s="35"/>
      <c r="D206" s="35"/>
      <c r="E206" s="35"/>
      <c r="F206" s="35"/>
      <c r="G206" s="35"/>
      <c r="H206" s="34"/>
      <c r="I206" s="36"/>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137"/>
      <c r="BK206" s="143"/>
      <c r="BL206" s="143"/>
      <c r="BM206" s="143"/>
      <c r="BN206" s="143"/>
      <c r="BO206" s="143"/>
      <c r="BP206" s="143"/>
      <c r="BQ206" s="143"/>
      <c r="BR206" s="143"/>
      <c r="BS206" s="143"/>
      <c r="BT206" s="143"/>
      <c r="BU206" s="143"/>
      <c r="BV206" s="143"/>
      <c r="BW206" s="143"/>
      <c r="BX206" s="143"/>
      <c r="BY206" s="143"/>
      <c r="BZ206" s="143"/>
      <c r="CA206" s="143"/>
      <c r="CB206" s="143"/>
      <c r="CC206" s="143"/>
      <c r="CD206" s="143"/>
    </row>
    <row r="207" spans="1:82" ht="16.5" customHeight="1" x14ac:dyDescent="0.15">
      <c r="A207" s="35"/>
      <c r="B207" s="35"/>
      <c r="C207" s="35"/>
      <c r="D207" s="35"/>
      <c r="E207" s="35"/>
      <c r="F207" s="35"/>
      <c r="G207" s="35"/>
      <c r="H207" s="34"/>
      <c r="I207" s="36"/>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137"/>
      <c r="BK207" s="143"/>
      <c r="BL207" s="143"/>
      <c r="BM207" s="143"/>
      <c r="BN207" s="143"/>
      <c r="BO207" s="143"/>
      <c r="BP207" s="143"/>
      <c r="BQ207" s="143"/>
      <c r="BR207" s="143"/>
      <c r="BS207" s="143"/>
      <c r="BT207" s="143"/>
      <c r="BU207" s="143"/>
      <c r="BV207" s="143"/>
      <c r="BW207" s="143"/>
      <c r="BX207" s="143"/>
      <c r="BY207" s="143"/>
      <c r="BZ207" s="143"/>
      <c r="CA207" s="143"/>
      <c r="CB207" s="143"/>
      <c r="CC207" s="143"/>
      <c r="CD207" s="143"/>
    </row>
    <row r="208" spans="1:82" ht="16.5" customHeight="1" x14ac:dyDescent="0.15">
      <c r="A208" s="35"/>
      <c r="B208" s="35"/>
      <c r="C208" s="35"/>
      <c r="D208" s="35"/>
      <c r="E208" s="35"/>
      <c r="F208" s="35"/>
      <c r="G208" s="35"/>
      <c r="H208" s="34"/>
      <c r="I208" s="36"/>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137"/>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row>
    <row r="209" spans="1:82" ht="16.5" customHeight="1" x14ac:dyDescent="0.15">
      <c r="A209" s="35"/>
      <c r="B209" s="35"/>
      <c r="C209" s="35"/>
      <c r="D209" s="35"/>
      <c r="E209" s="35"/>
      <c r="F209" s="35"/>
      <c r="G209" s="35"/>
      <c r="H209" s="34"/>
      <c r="I209" s="36"/>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137"/>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row>
    <row r="210" spans="1:82" ht="16.5" customHeight="1" x14ac:dyDescent="0.15">
      <c r="A210" s="35"/>
      <c r="B210" s="35"/>
      <c r="C210" s="35"/>
      <c r="D210" s="35"/>
      <c r="E210" s="35"/>
      <c r="F210" s="35"/>
      <c r="G210" s="35"/>
      <c r="H210" s="34"/>
      <c r="I210" s="36"/>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137"/>
      <c r="BK210" s="143"/>
      <c r="BL210" s="143"/>
      <c r="BM210" s="143"/>
      <c r="BN210" s="143"/>
      <c r="BO210" s="143"/>
      <c r="BP210" s="143"/>
      <c r="BQ210" s="143"/>
      <c r="BR210" s="143"/>
      <c r="BS210" s="143"/>
      <c r="BT210" s="143"/>
      <c r="BU210" s="143"/>
      <c r="BV210" s="143"/>
      <c r="BW210" s="143"/>
      <c r="BX210" s="143"/>
      <c r="BY210" s="143"/>
      <c r="BZ210" s="143"/>
      <c r="CA210" s="143"/>
      <c r="CB210" s="143"/>
      <c r="CC210" s="143"/>
      <c r="CD210" s="143"/>
    </row>
    <row r="211" spans="1:82" ht="16.5" customHeight="1" x14ac:dyDescent="0.15">
      <c r="A211" s="35"/>
      <c r="B211" s="35"/>
      <c r="C211" s="35"/>
      <c r="D211" s="35"/>
      <c r="E211" s="35"/>
      <c r="F211" s="35"/>
      <c r="G211" s="35"/>
      <c r="H211" s="34"/>
      <c r="I211" s="36"/>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137"/>
      <c r="BK211" s="143"/>
      <c r="BL211" s="143"/>
      <c r="BM211" s="143"/>
      <c r="BN211" s="143"/>
      <c r="BO211" s="143"/>
      <c r="BP211" s="143"/>
      <c r="BQ211" s="143"/>
      <c r="BR211" s="143"/>
      <c r="BS211" s="143"/>
      <c r="BT211" s="143"/>
      <c r="BU211" s="143"/>
      <c r="BV211" s="143"/>
      <c r="BW211" s="143"/>
      <c r="BX211" s="143"/>
      <c r="BY211" s="143"/>
      <c r="BZ211" s="143"/>
      <c r="CA211" s="143"/>
      <c r="CB211" s="143"/>
      <c r="CC211" s="143"/>
      <c r="CD211" s="143"/>
    </row>
    <row r="212" spans="1:82" ht="16.5" customHeight="1" x14ac:dyDescent="0.15">
      <c r="A212" s="35"/>
      <c r="B212" s="35"/>
      <c r="C212" s="35"/>
      <c r="D212" s="35"/>
      <c r="E212" s="35"/>
      <c r="F212" s="35"/>
      <c r="G212" s="35"/>
      <c r="H212" s="34"/>
      <c r="I212" s="36"/>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137"/>
      <c r="BK212" s="143"/>
      <c r="BL212" s="143"/>
      <c r="BM212" s="143"/>
      <c r="BN212" s="143"/>
      <c r="BO212" s="143"/>
      <c r="BP212" s="143"/>
      <c r="BQ212" s="143"/>
      <c r="BR212" s="143"/>
      <c r="BS212" s="143"/>
      <c r="BT212" s="143"/>
      <c r="BU212" s="143"/>
      <c r="BV212" s="143"/>
      <c r="BW212" s="143"/>
      <c r="BX212" s="143"/>
      <c r="BY212" s="143"/>
      <c r="BZ212" s="143"/>
      <c r="CA212" s="143"/>
      <c r="CB212" s="143"/>
      <c r="CC212" s="143"/>
      <c r="CD212" s="143"/>
    </row>
    <row r="213" spans="1:82" ht="16.5" customHeight="1" x14ac:dyDescent="0.15">
      <c r="A213" s="35"/>
      <c r="B213" s="35"/>
      <c r="C213" s="35"/>
      <c r="D213" s="35"/>
      <c r="E213" s="35"/>
      <c r="F213" s="35"/>
      <c r="G213" s="35"/>
      <c r="H213" s="34"/>
      <c r="I213" s="36"/>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137"/>
      <c r="BK213" s="143"/>
      <c r="BL213" s="143"/>
      <c r="BM213" s="143"/>
      <c r="BN213" s="143"/>
      <c r="BO213" s="143"/>
      <c r="BP213" s="143"/>
      <c r="BQ213" s="143"/>
      <c r="BR213" s="143"/>
      <c r="BS213" s="143"/>
      <c r="BT213" s="143"/>
      <c r="BU213" s="143"/>
      <c r="BV213" s="143"/>
      <c r="BW213" s="143"/>
      <c r="BX213" s="143"/>
      <c r="BY213" s="143"/>
      <c r="BZ213" s="143"/>
      <c r="CA213" s="143"/>
      <c r="CB213" s="143"/>
      <c r="CC213" s="143"/>
      <c r="CD213" s="143"/>
    </row>
    <row r="214" spans="1:82" ht="16.5" customHeight="1" x14ac:dyDescent="0.15">
      <c r="A214" s="35"/>
      <c r="B214" s="35"/>
      <c r="C214" s="35"/>
      <c r="D214" s="35"/>
      <c r="E214" s="35"/>
      <c r="F214" s="35"/>
      <c r="G214" s="35"/>
      <c r="H214" s="34"/>
      <c r="I214" s="36"/>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137"/>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row>
    <row r="215" spans="1:82" ht="16.5" customHeight="1" x14ac:dyDescent="0.15">
      <c r="A215" s="35"/>
      <c r="B215" s="35"/>
      <c r="C215" s="35"/>
      <c r="D215" s="35"/>
      <c r="E215" s="35"/>
      <c r="F215" s="35"/>
      <c r="G215" s="35"/>
      <c r="H215" s="34"/>
      <c r="I215" s="36"/>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137"/>
      <c r="BK215" s="143"/>
      <c r="BL215" s="143"/>
      <c r="BM215" s="143"/>
      <c r="BN215" s="143"/>
      <c r="BO215" s="143"/>
      <c r="BP215" s="143"/>
      <c r="BQ215" s="143"/>
      <c r="BR215" s="143"/>
      <c r="BS215" s="143"/>
      <c r="BT215" s="143"/>
      <c r="BU215" s="143"/>
      <c r="BV215" s="143"/>
      <c r="BW215" s="143"/>
      <c r="BX215" s="143"/>
      <c r="BY215" s="143"/>
      <c r="BZ215" s="143"/>
      <c r="CA215" s="143"/>
      <c r="CB215" s="143"/>
      <c r="CC215" s="143"/>
      <c r="CD215" s="143"/>
    </row>
    <row r="216" spans="1:82" ht="16.5" customHeight="1" x14ac:dyDescent="0.15">
      <c r="A216" s="35"/>
      <c r="B216" s="35"/>
      <c r="C216" s="35"/>
      <c r="D216" s="35"/>
      <c r="E216" s="35"/>
      <c r="F216" s="35"/>
      <c r="G216" s="35"/>
      <c r="H216" s="34"/>
      <c r="I216" s="36"/>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137"/>
      <c r="BK216" s="143"/>
      <c r="BL216" s="143"/>
      <c r="BM216" s="143"/>
      <c r="BN216" s="143"/>
      <c r="BO216" s="143"/>
      <c r="BP216" s="143"/>
      <c r="BQ216" s="143"/>
      <c r="BR216" s="143"/>
      <c r="BS216" s="143"/>
      <c r="BT216" s="143"/>
      <c r="BU216" s="143"/>
      <c r="BV216" s="143"/>
      <c r="BW216" s="143"/>
      <c r="BX216" s="143"/>
      <c r="BY216" s="143"/>
      <c r="BZ216" s="143"/>
      <c r="CA216" s="143"/>
      <c r="CB216" s="143"/>
      <c r="CC216" s="143"/>
      <c r="CD216" s="143"/>
    </row>
    <row r="217" spans="1:82" ht="16.5" customHeight="1" x14ac:dyDescent="0.15">
      <c r="A217" s="35"/>
      <c r="B217" s="35"/>
      <c r="C217" s="35"/>
      <c r="D217" s="35"/>
      <c r="E217" s="35"/>
      <c r="F217" s="35"/>
      <c r="G217" s="35"/>
      <c r="H217" s="34"/>
      <c r="I217" s="36"/>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137"/>
      <c r="BK217" s="143"/>
      <c r="BL217" s="143"/>
      <c r="BM217" s="143"/>
      <c r="BN217" s="143"/>
      <c r="BO217" s="143"/>
      <c r="BP217" s="143"/>
      <c r="BQ217" s="143"/>
      <c r="BR217" s="143"/>
      <c r="BS217" s="143"/>
      <c r="BT217" s="143"/>
      <c r="BU217" s="143"/>
      <c r="BV217" s="143"/>
      <c r="BW217" s="143"/>
      <c r="BX217" s="143"/>
      <c r="BY217" s="143"/>
      <c r="BZ217" s="143"/>
      <c r="CA217" s="143"/>
      <c r="CB217" s="143"/>
      <c r="CC217" s="143"/>
      <c r="CD217" s="143"/>
    </row>
    <row r="218" spans="1:82" ht="16.5" customHeight="1" x14ac:dyDescent="0.15">
      <c r="A218" s="35"/>
      <c r="B218" s="35"/>
      <c r="C218" s="35"/>
      <c r="D218" s="35"/>
      <c r="E218" s="35"/>
      <c r="F218" s="35"/>
      <c r="G218" s="35"/>
      <c r="H218" s="34"/>
      <c r="I218" s="36"/>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137"/>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row>
    <row r="219" spans="1:82" ht="16.5" customHeight="1" x14ac:dyDescent="0.15">
      <c r="A219" s="35"/>
      <c r="B219" s="35"/>
      <c r="C219" s="35"/>
      <c r="D219" s="35"/>
      <c r="E219" s="35"/>
      <c r="F219" s="35"/>
      <c r="G219" s="35"/>
      <c r="H219" s="34"/>
      <c r="I219" s="36"/>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137"/>
      <c r="BK219" s="143"/>
      <c r="BL219" s="143"/>
      <c r="BM219" s="143"/>
      <c r="BN219" s="143"/>
      <c r="BO219" s="143"/>
      <c r="BP219" s="143"/>
      <c r="BQ219" s="143"/>
      <c r="BR219" s="143"/>
      <c r="BS219" s="143"/>
      <c r="BT219" s="143"/>
      <c r="BU219" s="143"/>
      <c r="BV219" s="143"/>
      <c r="BW219" s="143"/>
      <c r="BX219" s="143"/>
      <c r="BY219" s="143"/>
      <c r="BZ219" s="143"/>
      <c r="CA219" s="143"/>
      <c r="CB219" s="143"/>
      <c r="CC219" s="143"/>
      <c r="CD219" s="143"/>
    </row>
    <row r="220" spans="1:82" ht="16.5" customHeight="1" x14ac:dyDescent="0.15">
      <c r="A220" s="35"/>
      <c r="B220" s="35"/>
      <c r="C220" s="35"/>
      <c r="D220" s="35"/>
      <c r="E220" s="35"/>
      <c r="F220" s="35"/>
      <c r="G220" s="35"/>
      <c r="H220" s="34"/>
      <c r="I220" s="36"/>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137"/>
      <c r="BK220" s="143"/>
      <c r="BL220" s="143"/>
      <c r="BM220" s="143"/>
      <c r="BN220" s="143"/>
      <c r="BO220" s="143"/>
      <c r="BP220" s="143"/>
      <c r="BQ220" s="143"/>
      <c r="BR220" s="143"/>
      <c r="BS220" s="143"/>
      <c r="BT220" s="143"/>
      <c r="BU220" s="143"/>
      <c r="BV220" s="143"/>
      <c r="BW220" s="143"/>
      <c r="BX220" s="143"/>
      <c r="BY220" s="143"/>
      <c r="BZ220" s="143"/>
      <c r="CA220" s="143"/>
      <c r="CB220" s="143"/>
      <c r="CC220" s="143"/>
      <c r="CD220" s="143"/>
    </row>
    <row r="221" spans="1:82" ht="16.5" customHeight="1" x14ac:dyDescent="0.15">
      <c r="A221" s="35"/>
      <c r="B221" s="35"/>
      <c r="C221" s="35"/>
      <c r="D221" s="35"/>
      <c r="E221" s="35"/>
      <c r="F221" s="35"/>
      <c r="G221" s="35"/>
      <c r="H221" s="34"/>
      <c r="I221" s="36"/>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137"/>
      <c r="BK221" s="143"/>
      <c r="BL221" s="143"/>
      <c r="BM221" s="143"/>
      <c r="BN221" s="143"/>
      <c r="BO221" s="143"/>
      <c r="BP221" s="143"/>
      <c r="BQ221" s="143"/>
      <c r="BR221" s="143"/>
      <c r="BS221" s="143"/>
      <c r="BT221" s="143"/>
      <c r="BU221" s="143"/>
      <c r="BV221" s="143"/>
      <c r="BW221" s="143"/>
      <c r="BX221" s="143"/>
      <c r="BY221" s="143"/>
      <c r="BZ221" s="143"/>
      <c r="CA221" s="143"/>
      <c r="CB221" s="143"/>
      <c r="CC221" s="143"/>
      <c r="CD221" s="143"/>
    </row>
    <row r="222" spans="1:82" ht="16.5" customHeight="1" x14ac:dyDescent="0.15">
      <c r="A222" s="35"/>
      <c r="B222" s="35"/>
      <c r="C222" s="35"/>
      <c r="D222" s="35"/>
      <c r="E222" s="35"/>
      <c r="F222" s="35"/>
      <c r="G222" s="35"/>
      <c r="H222" s="34"/>
      <c r="I222" s="36"/>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137"/>
      <c r="BK222" s="143"/>
      <c r="BL222" s="143"/>
      <c r="BM222" s="143"/>
      <c r="BN222" s="143"/>
      <c r="BO222" s="143"/>
      <c r="BP222" s="143"/>
      <c r="BQ222" s="143"/>
      <c r="BR222" s="143"/>
      <c r="BS222" s="143"/>
      <c r="BT222" s="143"/>
      <c r="BU222" s="143"/>
      <c r="BV222" s="143"/>
      <c r="BW222" s="143"/>
      <c r="BX222" s="143"/>
      <c r="BY222" s="143"/>
      <c r="BZ222" s="143"/>
      <c r="CA222" s="143"/>
      <c r="CB222" s="143"/>
      <c r="CC222" s="143"/>
      <c r="CD222" s="143"/>
    </row>
    <row r="223" spans="1:82" ht="16.5" customHeight="1" x14ac:dyDescent="0.15">
      <c r="A223" s="35"/>
      <c r="B223" s="35"/>
      <c r="C223" s="35"/>
      <c r="D223" s="35"/>
      <c r="E223" s="35"/>
      <c r="F223" s="35"/>
      <c r="G223" s="35"/>
      <c r="H223" s="34"/>
      <c r="I223" s="36"/>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137"/>
      <c r="BK223" s="143"/>
      <c r="BL223" s="143"/>
      <c r="BM223" s="143"/>
      <c r="BN223" s="143"/>
      <c r="BO223" s="143"/>
      <c r="BP223" s="143"/>
      <c r="BQ223" s="143"/>
      <c r="BR223" s="143"/>
      <c r="BS223" s="143"/>
      <c r="BT223" s="143"/>
      <c r="BU223" s="143"/>
      <c r="BV223" s="143"/>
      <c r="BW223" s="143"/>
      <c r="BX223" s="143"/>
      <c r="BY223" s="143"/>
      <c r="BZ223" s="143"/>
      <c r="CA223" s="143"/>
      <c r="CB223" s="143"/>
      <c r="CC223" s="143"/>
      <c r="CD223" s="143"/>
    </row>
    <row r="224" spans="1:82" ht="16.5" customHeight="1" x14ac:dyDescent="0.15">
      <c r="A224" s="35"/>
      <c r="B224" s="35"/>
      <c r="C224" s="35"/>
      <c r="D224" s="35"/>
      <c r="E224" s="35"/>
      <c r="F224" s="35"/>
      <c r="G224" s="35"/>
      <c r="H224" s="34"/>
      <c r="I224" s="36"/>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137"/>
      <c r="BK224" s="143"/>
      <c r="BL224" s="143"/>
      <c r="BM224" s="143"/>
      <c r="BN224" s="143"/>
      <c r="BO224" s="143"/>
      <c r="BP224" s="143"/>
      <c r="BQ224" s="143"/>
      <c r="BR224" s="143"/>
      <c r="BS224" s="143"/>
      <c r="BT224" s="143"/>
      <c r="BU224" s="143"/>
      <c r="BV224" s="143"/>
      <c r="BW224" s="143"/>
      <c r="BX224" s="143"/>
      <c r="BY224" s="143"/>
      <c r="BZ224" s="143"/>
      <c r="CA224" s="143"/>
      <c r="CB224" s="143"/>
      <c r="CC224" s="143"/>
      <c r="CD224" s="143"/>
    </row>
    <row r="225" spans="1:82" ht="16.5" customHeight="1" x14ac:dyDescent="0.15">
      <c r="A225" s="35"/>
      <c r="B225" s="35"/>
      <c r="C225" s="35"/>
      <c r="D225" s="35"/>
      <c r="E225" s="35"/>
      <c r="F225" s="35"/>
      <c r="G225" s="35"/>
      <c r="H225" s="34"/>
      <c r="I225" s="36"/>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137"/>
      <c r="BK225" s="143"/>
      <c r="BL225" s="143"/>
      <c r="BM225" s="143"/>
      <c r="BN225" s="143"/>
      <c r="BO225" s="143"/>
      <c r="BP225" s="143"/>
      <c r="BQ225" s="143"/>
      <c r="BR225" s="143"/>
      <c r="BS225" s="143"/>
      <c r="BT225" s="143"/>
      <c r="BU225" s="143"/>
      <c r="BV225" s="143"/>
      <c r="BW225" s="143"/>
      <c r="BX225" s="143"/>
      <c r="BY225" s="143"/>
      <c r="BZ225" s="143"/>
      <c r="CA225" s="143"/>
      <c r="CB225" s="143"/>
      <c r="CC225" s="143"/>
      <c r="CD225" s="143"/>
    </row>
    <row r="226" spans="1:82" ht="16.5" customHeight="1" x14ac:dyDescent="0.15">
      <c r="A226" s="35"/>
      <c r="B226" s="35"/>
      <c r="C226" s="35"/>
      <c r="D226" s="35"/>
      <c r="E226" s="35"/>
      <c r="F226" s="35"/>
      <c r="G226" s="35"/>
      <c r="H226" s="34"/>
      <c r="I226" s="36"/>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137"/>
      <c r="BK226" s="143"/>
      <c r="BL226" s="143"/>
      <c r="BM226" s="143"/>
      <c r="BN226" s="143"/>
      <c r="BO226" s="143"/>
      <c r="BP226" s="143"/>
      <c r="BQ226" s="143"/>
      <c r="BR226" s="143"/>
      <c r="BS226" s="143"/>
      <c r="BT226" s="143"/>
      <c r="BU226" s="143"/>
      <c r="BV226" s="143"/>
      <c r="BW226" s="143"/>
      <c r="BX226" s="143"/>
      <c r="BY226" s="143"/>
      <c r="BZ226" s="143"/>
      <c r="CA226" s="143"/>
      <c r="CB226" s="143"/>
      <c r="CC226" s="143"/>
      <c r="CD226" s="143"/>
    </row>
    <row r="227" spans="1:82" ht="16.5" customHeight="1" x14ac:dyDescent="0.15">
      <c r="A227" s="35"/>
      <c r="B227" s="35"/>
      <c r="C227" s="35"/>
      <c r="D227" s="35"/>
      <c r="E227" s="35"/>
      <c r="F227" s="35"/>
      <c r="G227" s="35"/>
      <c r="H227" s="34"/>
      <c r="I227" s="36"/>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137"/>
      <c r="BK227" s="143"/>
      <c r="BL227" s="143"/>
      <c r="BM227" s="143"/>
      <c r="BN227" s="143"/>
      <c r="BO227" s="143"/>
      <c r="BP227" s="143"/>
      <c r="BQ227" s="143"/>
      <c r="BR227" s="143"/>
      <c r="BS227" s="143"/>
      <c r="BT227" s="143"/>
      <c r="BU227" s="143"/>
      <c r="BV227" s="143"/>
      <c r="BW227" s="143"/>
      <c r="BX227" s="143"/>
      <c r="BY227" s="143"/>
      <c r="BZ227" s="143"/>
      <c r="CA227" s="143"/>
      <c r="CB227" s="143"/>
      <c r="CC227" s="143"/>
      <c r="CD227" s="143"/>
    </row>
    <row r="228" spans="1:82" ht="16.5" customHeight="1" x14ac:dyDescent="0.15">
      <c r="A228" s="35"/>
      <c r="B228" s="35"/>
      <c r="C228" s="35"/>
      <c r="D228" s="35"/>
      <c r="E228" s="35"/>
      <c r="F228" s="35"/>
      <c r="G228" s="35"/>
      <c r="H228" s="34"/>
      <c r="I228" s="36"/>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137"/>
      <c r="BK228" s="143"/>
      <c r="BL228" s="143"/>
      <c r="BM228" s="143"/>
      <c r="BN228" s="143"/>
      <c r="BO228" s="143"/>
      <c r="BP228" s="143"/>
      <c r="BQ228" s="143"/>
      <c r="BR228" s="143"/>
      <c r="BS228" s="143"/>
      <c r="BT228" s="143"/>
      <c r="BU228" s="143"/>
      <c r="BV228" s="143"/>
      <c r="BW228" s="143"/>
      <c r="BX228" s="143"/>
      <c r="BY228" s="143"/>
      <c r="BZ228" s="143"/>
      <c r="CA228" s="143"/>
      <c r="CB228" s="143"/>
      <c r="CC228" s="143"/>
      <c r="CD228" s="143"/>
    </row>
    <row r="229" spans="1:82" ht="16.5" customHeight="1" x14ac:dyDescent="0.15">
      <c r="A229" s="35"/>
      <c r="B229" s="35"/>
      <c r="C229" s="35"/>
      <c r="D229" s="35"/>
      <c r="E229" s="35"/>
      <c r="F229" s="35"/>
      <c r="G229" s="35"/>
      <c r="H229" s="34"/>
      <c r="I229" s="36"/>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137"/>
      <c r="BK229" s="143"/>
      <c r="BL229" s="143"/>
      <c r="BM229" s="143"/>
      <c r="BN229" s="143"/>
      <c r="BO229" s="143"/>
      <c r="BP229" s="143"/>
      <c r="BQ229" s="143"/>
      <c r="BR229" s="143"/>
      <c r="BS229" s="143"/>
      <c r="BT229" s="143"/>
      <c r="BU229" s="143"/>
      <c r="BV229" s="143"/>
      <c r="BW229" s="143"/>
      <c r="BX229" s="143"/>
      <c r="BY229" s="143"/>
      <c r="BZ229" s="143"/>
      <c r="CA229" s="143"/>
      <c r="CB229" s="143"/>
      <c r="CC229" s="143"/>
      <c r="CD229" s="143"/>
    </row>
    <row r="230" spans="1:82" ht="16.5" customHeight="1" x14ac:dyDescent="0.15">
      <c r="A230" s="35"/>
      <c r="B230" s="35"/>
      <c r="C230" s="35"/>
      <c r="D230" s="35"/>
      <c r="E230" s="35"/>
      <c r="F230" s="35"/>
      <c r="G230" s="35"/>
      <c r="H230" s="34"/>
      <c r="I230" s="36"/>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137"/>
      <c r="BK230" s="143"/>
      <c r="BL230" s="143"/>
      <c r="BM230" s="143"/>
      <c r="BN230" s="143"/>
      <c r="BO230" s="143"/>
      <c r="BP230" s="143"/>
      <c r="BQ230" s="143"/>
      <c r="BR230" s="143"/>
      <c r="BS230" s="143"/>
      <c r="BT230" s="143"/>
      <c r="BU230" s="143"/>
      <c r="BV230" s="143"/>
      <c r="BW230" s="143"/>
      <c r="BX230" s="143"/>
      <c r="BY230" s="143"/>
      <c r="BZ230" s="143"/>
      <c r="CA230" s="143"/>
      <c r="CB230" s="143"/>
      <c r="CC230" s="143"/>
      <c r="CD230" s="143"/>
    </row>
    <row r="231" spans="1:82" ht="16.5" customHeight="1" x14ac:dyDescent="0.15">
      <c r="A231" s="35"/>
      <c r="B231" s="35"/>
      <c r="C231" s="35"/>
      <c r="D231" s="35"/>
      <c r="E231" s="35"/>
      <c r="F231" s="35"/>
      <c r="G231" s="35"/>
      <c r="H231" s="34"/>
      <c r="I231" s="36"/>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137"/>
      <c r="BK231" s="143"/>
      <c r="BL231" s="143"/>
      <c r="BM231" s="143"/>
      <c r="BN231" s="143"/>
      <c r="BO231" s="143"/>
      <c r="BP231" s="143"/>
      <c r="BQ231" s="143"/>
      <c r="BR231" s="143"/>
      <c r="BS231" s="143"/>
      <c r="BT231" s="143"/>
      <c r="BU231" s="143"/>
      <c r="BV231" s="143"/>
      <c r="BW231" s="143"/>
      <c r="BX231" s="143"/>
      <c r="BY231" s="143"/>
      <c r="BZ231" s="143"/>
      <c r="CA231" s="143"/>
      <c r="CB231" s="143"/>
      <c r="CC231" s="143"/>
      <c r="CD231" s="143"/>
    </row>
    <row r="232" spans="1:82" ht="16.5" customHeight="1" x14ac:dyDescent="0.15">
      <c r="A232" s="35"/>
      <c r="B232" s="35"/>
      <c r="C232" s="35"/>
      <c r="D232" s="35"/>
      <c r="E232" s="35"/>
      <c r="F232" s="35"/>
      <c r="G232" s="35"/>
      <c r="H232" s="34"/>
      <c r="I232" s="36"/>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137"/>
      <c r="BK232" s="143"/>
      <c r="BL232" s="143"/>
      <c r="BM232" s="143"/>
      <c r="BN232" s="143"/>
      <c r="BO232" s="143"/>
      <c r="BP232" s="143"/>
      <c r="BQ232" s="143"/>
      <c r="BR232" s="143"/>
      <c r="BS232" s="143"/>
      <c r="BT232" s="143"/>
      <c r="BU232" s="143"/>
      <c r="BV232" s="143"/>
      <c r="BW232" s="143"/>
      <c r="BX232" s="143"/>
      <c r="BY232" s="143"/>
      <c r="BZ232" s="143"/>
      <c r="CA232" s="143"/>
      <c r="CB232" s="143"/>
      <c r="CC232" s="143"/>
      <c r="CD232" s="143"/>
    </row>
    <row r="233" spans="1:82" ht="16.5" customHeight="1" x14ac:dyDescent="0.15">
      <c r="A233" s="35"/>
      <c r="B233" s="35"/>
      <c r="C233" s="35"/>
      <c r="D233" s="35"/>
      <c r="E233" s="35"/>
      <c r="F233" s="35"/>
      <c r="G233" s="35"/>
      <c r="H233" s="34"/>
      <c r="I233" s="36"/>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137"/>
      <c r="BK233" s="143"/>
      <c r="BL233" s="143"/>
      <c r="BM233" s="143"/>
      <c r="BN233" s="143"/>
      <c r="BO233" s="143"/>
      <c r="BP233" s="143"/>
      <c r="BQ233" s="143"/>
      <c r="BR233" s="143"/>
      <c r="BS233" s="143"/>
      <c r="BT233" s="143"/>
      <c r="BU233" s="143"/>
      <c r="BV233" s="143"/>
      <c r="BW233" s="143"/>
      <c r="BX233" s="143"/>
      <c r="BY233" s="143"/>
      <c r="BZ233" s="143"/>
      <c r="CA233" s="143"/>
      <c r="CB233" s="143"/>
      <c r="CC233" s="143"/>
      <c r="CD233" s="143"/>
    </row>
    <row r="234" spans="1:82" ht="16.5" customHeight="1" x14ac:dyDescent="0.15">
      <c r="A234" s="35"/>
      <c r="B234" s="35"/>
      <c r="C234" s="35"/>
      <c r="D234" s="35"/>
      <c r="E234" s="35"/>
      <c r="F234" s="35"/>
      <c r="G234" s="35"/>
      <c r="H234" s="34"/>
      <c r="I234" s="36"/>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137"/>
      <c r="BK234" s="143"/>
      <c r="BL234" s="143"/>
      <c r="BM234" s="143"/>
      <c r="BN234" s="143"/>
      <c r="BO234" s="143"/>
      <c r="BP234" s="143"/>
      <c r="BQ234" s="143"/>
      <c r="BR234" s="143"/>
      <c r="BS234" s="143"/>
      <c r="BT234" s="143"/>
      <c r="BU234" s="143"/>
      <c r="BV234" s="143"/>
      <c r="BW234" s="143"/>
      <c r="BX234" s="143"/>
      <c r="BY234" s="143"/>
      <c r="BZ234" s="143"/>
      <c r="CA234" s="143"/>
      <c r="CB234" s="143"/>
      <c r="CC234" s="143"/>
      <c r="CD234" s="143"/>
    </row>
    <row r="235" spans="1:82" ht="16.5" customHeight="1" x14ac:dyDescent="0.15">
      <c r="A235" s="35"/>
      <c r="B235" s="35"/>
      <c r="C235" s="35"/>
      <c r="D235" s="35"/>
      <c r="E235" s="35"/>
      <c r="F235" s="35"/>
      <c r="G235" s="35"/>
      <c r="H235" s="34"/>
      <c r="I235" s="36"/>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137"/>
      <c r="BK235" s="143"/>
      <c r="BL235" s="143"/>
      <c r="BM235" s="143"/>
      <c r="BN235" s="143"/>
      <c r="BO235" s="143"/>
      <c r="BP235" s="143"/>
      <c r="BQ235" s="143"/>
      <c r="BR235" s="143"/>
      <c r="BS235" s="143"/>
      <c r="BT235" s="143"/>
      <c r="BU235" s="143"/>
      <c r="BV235" s="143"/>
      <c r="BW235" s="143"/>
      <c r="BX235" s="143"/>
      <c r="BY235" s="143"/>
      <c r="BZ235" s="143"/>
      <c r="CA235" s="143"/>
      <c r="CB235" s="143"/>
      <c r="CC235" s="143"/>
      <c r="CD235" s="143"/>
    </row>
    <row r="236" spans="1:82" ht="16.5" customHeight="1" x14ac:dyDescent="0.15">
      <c r="A236" s="35"/>
      <c r="B236" s="35"/>
      <c r="C236" s="35"/>
      <c r="D236" s="35"/>
      <c r="E236" s="35"/>
      <c r="F236" s="35"/>
      <c r="G236" s="35"/>
      <c r="H236" s="34"/>
      <c r="I236" s="36"/>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137"/>
      <c r="BK236" s="143"/>
      <c r="BL236" s="143"/>
      <c r="BM236" s="143"/>
      <c r="BN236" s="143"/>
      <c r="BO236" s="143"/>
      <c r="BP236" s="143"/>
      <c r="BQ236" s="143"/>
      <c r="BR236" s="143"/>
      <c r="BS236" s="143"/>
      <c r="BT236" s="143"/>
      <c r="BU236" s="143"/>
      <c r="BV236" s="143"/>
      <c r="BW236" s="143"/>
      <c r="BX236" s="143"/>
      <c r="BY236" s="143"/>
      <c r="BZ236" s="143"/>
      <c r="CA236" s="143"/>
      <c r="CB236" s="143"/>
      <c r="CC236" s="143"/>
      <c r="CD236" s="143"/>
    </row>
    <row r="237" spans="1:82" ht="16.5" customHeight="1" x14ac:dyDescent="0.15">
      <c r="A237" s="35"/>
      <c r="B237" s="35"/>
      <c r="C237" s="35"/>
      <c r="D237" s="35"/>
      <c r="E237" s="35"/>
      <c r="F237" s="35"/>
      <c r="G237" s="35"/>
      <c r="H237" s="34"/>
      <c r="I237" s="36"/>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137"/>
      <c r="BK237" s="143"/>
      <c r="BL237" s="143"/>
      <c r="BM237" s="143"/>
      <c r="BN237" s="143"/>
      <c r="BO237" s="143"/>
      <c r="BP237" s="143"/>
      <c r="BQ237" s="143"/>
      <c r="BR237" s="143"/>
      <c r="BS237" s="143"/>
      <c r="BT237" s="143"/>
      <c r="BU237" s="143"/>
      <c r="BV237" s="143"/>
      <c r="BW237" s="143"/>
      <c r="BX237" s="143"/>
      <c r="BY237" s="143"/>
      <c r="BZ237" s="143"/>
      <c r="CA237" s="143"/>
      <c r="CB237" s="143"/>
      <c r="CC237" s="143"/>
      <c r="CD237" s="143"/>
    </row>
    <row r="238" spans="1:82" ht="16.5" customHeight="1" x14ac:dyDescent="0.15">
      <c r="A238" s="35"/>
      <c r="B238" s="35"/>
      <c r="C238" s="35"/>
      <c r="D238" s="35"/>
      <c r="E238" s="35"/>
      <c r="F238" s="35"/>
      <c r="G238" s="35"/>
      <c r="H238" s="34"/>
      <c r="I238" s="36"/>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137"/>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row>
    <row r="239" spans="1:82" ht="16.5" customHeight="1" x14ac:dyDescent="0.15">
      <c r="A239" s="35"/>
      <c r="B239" s="35"/>
      <c r="C239" s="35"/>
      <c r="D239" s="35"/>
      <c r="E239" s="35"/>
      <c r="F239" s="35"/>
      <c r="G239" s="35"/>
      <c r="H239" s="34"/>
      <c r="I239" s="36"/>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137"/>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row>
    <row r="240" spans="1:82" ht="16.5" customHeight="1" x14ac:dyDescent="0.15">
      <c r="A240" s="35"/>
      <c r="B240" s="35"/>
      <c r="C240" s="35"/>
      <c r="D240" s="35"/>
      <c r="E240" s="35"/>
      <c r="F240" s="35"/>
      <c r="G240" s="35"/>
      <c r="H240" s="34"/>
      <c r="I240" s="36"/>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137"/>
      <c r="BK240" s="143"/>
      <c r="BL240" s="143"/>
      <c r="BM240" s="143"/>
      <c r="BN240" s="143"/>
      <c r="BO240" s="143"/>
      <c r="BP240" s="143"/>
      <c r="BQ240" s="143"/>
      <c r="BR240" s="143"/>
      <c r="BS240" s="143"/>
      <c r="BT240" s="143"/>
      <c r="BU240" s="143"/>
      <c r="BV240" s="143"/>
      <c r="BW240" s="143"/>
      <c r="BX240" s="143"/>
      <c r="BY240" s="143"/>
      <c r="BZ240" s="143"/>
      <c r="CA240" s="143"/>
      <c r="CB240" s="143"/>
      <c r="CC240" s="143"/>
      <c r="CD240" s="143"/>
    </row>
    <row r="241" spans="1:82" ht="16.5" customHeight="1" x14ac:dyDescent="0.15">
      <c r="A241" s="35"/>
      <c r="B241" s="35"/>
      <c r="C241" s="35"/>
      <c r="D241" s="35"/>
      <c r="E241" s="35"/>
      <c r="F241" s="35"/>
      <c r="G241" s="35"/>
      <c r="H241" s="34"/>
      <c r="I241" s="36"/>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137"/>
      <c r="BK241" s="143"/>
      <c r="BL241" s="143"/>
      <c r="BM241" s="143"/>
      <c r="BN241" s="143"/>
      <c r="BO241" s="143"/>
      <c r="BP241" s="143"/>
      <c r="BQ241" s="143"/>
      <c r="BR241" s="143"/>
      <c r="BS241" s="143"/>
      <c r="BT241" s="143"/>
      <c r="BU241" s="143"/>
      <c r="BV241" s="143"/>
      <c r="BW241" s="143"/>
      <c r="BX241" s="143"/>
      <c r="BY241" s="143"/>
      <c r="BZ241" s="143"/>
      <c r="CA241" s="143"/>
      <c r="CB241" s="143"/>
      <c r="CC241" s="143"/>
      <c r="CD241" s="143"/>
    </row>
    <row r="242" spans="1:82" ht="16.5" customHeight="1" x14ac:dyDescent="0.15">
      <c r="A242" s="35"/>
      <c r="B242" s="35"/>
      <c r="C242" s="35"/>
      <c r="D242" s="35"/>
      <c r="E242" s="35"/>
      <c r="F242" s="35"/>
      <c r="G242" s="35"/>
      <c r="H242" s="34"/>
      <c r="I242" s="36"/>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137"/>
      <c r="BK242" s="143"/>
      <c r="BL242" s="143"/>
      <c r="BM242" s="143"/>
      <c r="BN242" s="143"/>
      <c r="BO242" s="143"/>
      <c r="BP242" s="143"/>
      <c r="BQ242" s="143"/>
      <c r="BR242" s="143"/>
      <c r="BS242" s="143"/>
      <c r="BT242" s="143"/>
      <c r="BU242" s="143"/>
      <c r="BV242" s="143"/>
      <c r="BW242" s="143"/>
      <c r="BX242" s="143"/>
      <c r="BY242" s="143"/>
      <c r="BZ242" s="143"/>
      <c r="CA242" s="143"/>
      <c r="CB242" s="143"/>
      <c r="CC242" s="143"/>
      <c r="CD242" s="143"/>
    </row>
    <row r="243" spans="1:82" ht="16.5" customHeight="1" x14ac:dyDescent="0.15">
      <c r="A243" s="35"/>
      <c r="B243" s="35"/>
      <c r="C243" s="35"/>
      <c r="D243" s="35"/>
      <c r="E243" s="35"/>
      <c r="F243" s="35"/>
      <c r="G243" s="35"/>
      <c r="H243" s="34"/>
      <c r="I243" s="36"/>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137"/>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row>
    <row r="244" spans="1:82" ht="16.5" customHeight="1" x14ac:dyDescent="0.15">
      <c r="A244" s="35"/>
      <c r="B244" s="35"/>
      <c r="C244" s="35"/>
      <c r="D244" s="35"/>
      <c r="E244" s="35"/>
      <c r="F244" s="35"/>
      <c r="G244" s="35"/>
      <c r="H244" s="34"/>
      <c r="I244" s="36"/>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137"/>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row>
    <row r="245" spans="1:82" ht="16.5" customHeight="1" x14ac:dyDescent="0.15">
      <c r="A245" s="35"/>
      <c r="B245" s="35"/>
      <c r="C245" s="35"/>
      <c r="D245" s="35"/>
      <c r="E245" s="35"/>
      <c r="F245" s="35"/>
      <c r="G245" s="35"/>
      <c r="H245" s="34"/>
      <c r="I245" s="36"/>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137"/>
      <c r="BK245" s="143"/>
      <c r="BL245" s="143"/>
      <c r="BM245" s="143"/>
      <c r="BN245" s="143"/>
      <c r="BO245" s="143"/>
      <c r="BP245" s="143"/>
      <c r="BQ245" s="143"/>
      <c r="BR245" s="143"/>
      <c r="BS245" s="143"/>
      <c r="BT245" s="143"/>
      <c r="BU245" s="143"/>
      <c r="BV245" s="143"/>
      <c r="BW245" s="143"/>
      <c r="BX245" s="143"/>
      <c r="BY245" s="143"/>
      <c r="BZ245" s="143"/>
      <c r="CA245" s="143"/>
      <c r="CB245" s="143"/>
      <c r="CC245" s="143"/>
      <c r="CD245" s="143"/>
    </row>
    <row r="246" spans="1:82" ht="16.5" customHeight="1" x14ac:dyDescent="0.15">
      <c r="A246" s="35"/>
      <c r="B246" s="35"/>
      <c r="C246" s="35"/>
      <c r="D246" s="35"/>
      <c r="E246" s="35"/>
      <c r="F246" s="35"/>
      <c r="G246" s="35"/>
      <c r="H246" s="34"/>
      <c r="I246" s="36"/>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137"/>
      <c r="BK246" s="143"/>
      <c r="BL246" s="143"/>
      <c r="BM246" s="143"/>
      <c r="BN246" s="143"/>
      <c r="BO246" s="143"/>
      <c r="BP246" s="143"/>
      <c r="BQ246" s="143"/>
      <c r="BR246" s="143"/>
      <c r="BS246" s="143"/>
      <c r="BT246" s="143"/>
      <c r="BU246" s="143"/>
      <c r="BV246" s="143"/>
      <c r="BW246" s="143"/>
      <c r="BX246" s="143"/>
      <c r="BY246" s="143"/>
      <c r="BZ246" s="143"/>
      <c r="CA246" s="143"/>
      <c r="CB246" s="143"/>
      <c r="CC246" s="143"/>
      <c r="CD246" s="143"/>
    </row>
    <row r="247" spans="1:82" ht="16.5" customHeight="1" x14ac:dyDescent="0.15">
      <c r="A247" s="35"/>
      <c r="B247" s="35"/>
      <c r="C247" s="35"/>
      <c r="D247" s="35"/>
      <c r="E247" s="35"/>
      <c r="F247" s="35"/>
      <c r="G247" s="35"/>
      <c r="H247" s="34"/>
      <c r="I247" s="36"/>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137"/>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row>
    <row r="248" spans="1:82" ht="16.5" customHeight="1" x14ac:dyDescent="0.15">
      <c r="A248" s="35"/>
      <c r="B248" s="35"/>
      <c r="C248" s="35"/>
      <c r="D248" s="35"/>
      <c r="E248" s="35"/>
      <c r="F248" s="35"/>
      <c r="G248" s="35"/>
      <c r="H248" s="34"/>
      <c r="I248" s="36"/>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137"/>
      <c r="BK248" s="143"/>
      <c r="BL248" s="143"/>
      <c r="BM248" s="143"/>
      <c r="BN248" s="143"/>
      <c r="BO248" s="143"/>
      <c r="BP248" s="143"/>
      <c r="BQ248" s="143"/>
      <c r="BR248" s="143"/>
      <c r="BS248" s="143"/>
      <c r="BT248" s="143"/>
      <c r="BU248" s="143"/>
      <c r="BV248" s="143"/>
      <c r="BW248" s="143"/>
      <c r="BX248" s="143"/>
      <c r="BY248" s="143"/>
      <c r="BZ248" s="143"/>
      <c r="CA248" s="143"/>
      <c r="CB248" s="143"/>
      <c r="CC248" s="143"/>
      <c r="CD248" s="143"/>
    </row>
    <row r="249" spans="1:82" ht="16.5" customHeight="1" x14ac:dyDescent="0.15">
      <c r="A249" s="35"/>
      <c r="B249" s="35"/>
      <c r="C249" s="35"/>
      <c r="D249" s="35"/>
      <c r="E249" s="35"/>
      <c r="F249" s="35"/>
      <c r="G249" s="35"/>
      <c r="H249" s="34"/>
      <c r="I249" s="36"/>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137"/>
      <c r="BK249" s="143"/>
      <c r="BL249" s="143"/>
      <c r="BM249" s="143"/>
      <c r="BN249" s="143"/>
      <c r="BO249" s="143"/>
      <c r="BP249" s="143"/>
      <c r="BQ249" s="143"/>
      <c r="BR249" s="143"/>
      <c r="BS249" s="143"/>
      <c r="BT249" s="143"/>
      <c r="BU249" s="143"/>
      <c r="BV249" s="143"/>
      <c r="BW249" s="143"/>
      <c r="BX249" s="143"/>
      <c r="BY249" s="143"/>
      <c r="BZ249" s="143"/>
      <c r="CA249" s="143"/>
      <c r="CB249" s="143"/>
      <c r="CC249" s="143"/>
      <c r="CD249" s="143"/>
    </row>
    <row r="250" spans="1:82" ht="16.5" customHeight="1" x14ac:dyDescent="0.15">
      <c r="A250" s="35"/>
      <c r="B250" s="35"/>
      <c r="C250" s="35"/>
      <c r="D250" s="35"/>
      <c r="E250" s="35"/>
      <c r="F250" s="35"/>
      <c r="G250" s="35"/>
      <c r="H250" s="34"/>
      <c r="I250" s="36"/>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137"/>
      <c r="BK250" s="143"/>
      <c r="BL250" s="143"/>
      <c r="BM250" s="143"/>
      <c r="BN250" s="143"/>
      <c r="BO250" s="143"/>
      <c r="BP250" s="143"/>
      <c r="BQ250" s="143"/>
      <c r="BR250" s="143"/>
      <c r="BS250" s="143"/>
      <c r="BT250" s="143"/>
      <c r="BU250" s="143"/>
      <c r="BV250" s="143"/>
      <c r="BW250" s="143"/>
      <c r="BX250" s="143"/>
      <c r="BY250" s="143"/>
      <c r="BZ250" s="143"/>
      <c r="CA250" s="143"/>
      <c r="CB250" s="143"/>
      <c r="CC250" s="143"/>
      <c r="CD250" s="143"/>
    </row>
    <row r="251" spans="1:82" ht="16.5" customHeight="1" x14ac:dyDescent="0.15">
      <c r="A251" s="35"/>
      <c r="B251" s="35"/>
      <c r="C251" s="35"/>
      <c r="D251" s="35"/>
      <c r="E251" s="35"/>
      <c r="F251" s="35"/>
      <c r="G251" s="35"/>
      <c r="H251" s="34"/>
      <c r="I251" s="36"/>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137"/>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row>
    <row r="252" spans="1:82" ht="16.5" customHeight="1" x14ac:dyDescent="0.15">
      <c r="A252" s="35"/>
      <c r="B252" s="35"/>
      <c r="C252" s="35"/>
      <c r="D252" s="35"/>
      <c r="E252" s="35"/>
      <c r="F252" s="35"/>
      <c r="G252" s="35"/>
      <c r="H252" s="34"/>
      <c r="I252" s="36"/>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137"/>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row>
    <row r="253" spans="1:82" ht="16.5" customHeight="1" x14ac:dyDescent="0.15">
      <c r="A253" s="35"/>
      <c r="B253" s="35"/>
      <c r="C253" s="35"/>
      <c r="D253" s="35"/>
      <c r="E253" s="35"/>
      <c r="F253" s="35"/>
      <c r="G253" s="35"/>
      <c r="H253" s="34"/>
      <c r="I253" s="36"/>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137"/>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row>
    <row r="254" spans="1:82" ht="16.5" customHeight="1" x14ac:dyDescent="0.15">
      <c r="A254" s="35"/>
      <c r="B254" s="35"/>
      <c r="C254" s="35"/>
      <c r="D254" s="35"/>
      <c r="E254" s="35"/>
      <c r="F254" s="35"/>
      <c r="G254" s="35"/>
      <c r="H254" s="34"/>
      <c r="I254" s="36"/>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137"/>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row>
    <row r="255" spans="1:82" ht="16.5" customHeight="1" x14ac:dyDescent="0.15">
      <c r="A255" s="35"/>
      <c r="B255" s="35"/>
      <c r="C255" s="35"/>
      <c r="D255" s="35"/>
      <c r="E255" s="35"/>
      <c r="F255" s="35"/>
      <c r="G255" s="35"/>
      <c r="H255" s="34"/>
      <c r="I255" s="36"/>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137"/>
      <c r="BK255" s="143"/>
      <c r="BL255" s="143"/>
      <c r="BM255" s="143"/>
      <c r="BN255" s="143"/>
      <c r="BO255" s="143"/>
      <c r="BP255" s="143"/>
      <c r="BQ255" s="143"/>
      <c r="BR255" s="143"/>
      <c r="BS255" s="143"/>
      <c r="BT255" s="143"/>
      <c r="BU255" s="143"/>
      <c r="BV255" s="143"/>
      <c r="BW255" s="143"/>
      <c r="BX255" s="143"/>
      <c r="BY255" s="143"/>
      <c r="BZ255" s="143"/>
      <c r="CA255" s="143"/>
      <c r="CB255" s="143"/>
      <c r="CC255" s="143"/>
      <c r="CD255" s="143"/>
    </row>
    <row r="256" spans="1:82" ht="16.5" customHeight="1" x14ac:dyDescent="0.15">
      <c r="A256" s="35"/>
      <c r="B256" s="35"/>
      <c r="C256" s="35"/>
      <c r="D256" s="35"/>
      <c r="E256" s="35"/>
      <c r="F256" s="35"/>
      <c r="G256" s="35"/>
      <c r="H256" s="34"/>
      <c r="I256" s="36"/>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137"/>
      <c r="BK256" s="143"/>
      <c r="BL256" s="143"/>
      <c r="BM256" s="143"/>
      <c r="BN256" s="143"/>
      <c r="BO256" s="143"/>
      <c r="BP256" s="143"/>
      <c r="BQ256" s="143"/>
      <c r="BR256" s="143"/>
      <c r="BS256" s="143"/>
      <c r="BT256" s="143"/>
      <c r="BU256" s="143"/>
      <c r="BV256" s="143"/>
      <c r="BW256" s="143"/>
      <c r="BX256" s="143"/>
      <c r="BY256" s="143"/>
      <c r="BZ256" s="143"/>
      <c r="CA256" s="143"/>
      <c r="CB256" s="143"/>
      <c r="CC256" s="143"/>
      <c r="CD256" s="143"/>
    </row>
    <row r="257" spans="1:82" ht="16.5" customHeight="1" x14ac:dyDescent="0.15">
      <c r="A257" s="35"/>
      <c r="B257" s="35"/>
      <c r="C257" s="35"/>
      <c r="D257" s="35"/>
      <c r="E257" s="35"/>
      <c r="F257" s="35"/>
      <c r="G257" s="35"/>
      <c r="H257" s="34"/>
      <c r="I257" s="36"/>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137"/>
      <c r="BK257" s="143"/>
      <c r="BL257" s="143"/>
      <c r="BM257" s="143"/>
      <c r="BN257" s="143"/>
      <c r="BO257" s="143"/>
      <c r="BP257" s="143"/>
      <c r="BQ257" s="143"/>
      <c r="BR257" s="143"/>
      <c r="BS257" s="143"/>
      <c r="BT257" s="143"/>
      <c r="BU257" s="143"/>
      <c r="BV257" s="143"/>
      <c r="BW257" s="143"/>
      <c r="BX257" s="143"/>
      <c r="BY257" s="143"/>
      <c r="BZ257" s="143"/>
      <c r="CA257" s="143"/>
      <c r="CB257" s="143"/>
      <c r="CC257" s="143"/>
      <c r="CD257" s="143"/>
    </row>
    <row r="258" spans="1:82" ht="16.5" customHeight="1" x14ac:dyDescent="0.15">
      <c r="A258" s="35"/>
      <c r="B258" s="35"/>
      <c r="C258" s="35"/>
      <c r="D258" s="35"/>
      <c r="E258" s="35"/>
      <c r="F258" s="35"/>
      <c r="G258" s="35"/>
      <c r="H258" s="34"/>
      <c r="I258" s="36"/>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137"/>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row>
    <row r="259" spans="1:82" ht="16.5" customHeight="1" x14ac:dyDescent="0.15">
      <c r="A259" s="35"/>
      <c r="B259" s="35"/>
      <c r="C259" s="35"/>
      <c r="D259" s="35"/>
      <c r="E259" s="35"/>
      <c r="F259" s="35"/>
      <c r="G259" s="35"/>
      <c r="H259" s="34"/>
      <c r="I259" s="36"/>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137"/>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row>
    <row r="260" spans="1:82" ht="16.5" customHeight="1" x14ac:dyDescent="0.15">
      <c r="A260" s="35"/>
      <c r="B260" s="35"/>
      <c r="C260" s="35"/>
      <c r="D260" s="35"/>
      <c r="E260" s="35"/>
      <c r="F260" s="35"/>
      <c r="G260" s="35"/>
      <c r="H260" s="34"/>
      <c r="I260" s="36"/>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137"/>
      <c r="BK260" s="143"/>
      <c r="BL260" s="143"/>
      <c r="BM260" s="143"/>
      <c r="BN260" s="143"/>
      <c r="BO260" s="143"/>
      <c r="BP260" s="143"/>
      <c r="BQ260" s="143"/>
      <c r="BR260" s="143"/>
      <c r="BS260" s="143"/>
      <c r="BT260" s="143"/>
      <c r="BU260" s="143"/>
      <c r="BV260" s="143"/>
      <c r="BW260" s="143"/>
      <c r="BX260" s="143"/>
      <c r="BY260" s="143"/>
      <c r="BZ260" s="143"/>
      <c r="CA260" s="143"/>
      <c r="CB260" s="143"/>
      <c r="CC260" s="143"/>
      <c r="CD260" s="143"/>
    </row>
    <row r="261" spans="1:82" ht="16.5" customHeight="1" x14ac:dyDescent="0.15">
      <c r="A261" s="35"/>
      <c r="B261" s="35"/>
      <c r="C261" s="35"/>
      <c r="D261" s="35"/>
      <c r="E261" s="35"/>
      <c r="F261" s="35"/>
      <c r="G261" s="35"/>
      <c r="H261" s="34"/>
      <c r="I261" s="36"/>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137"/>
      <c r="BK261" s="143"/>
      <c r="BL261" s="143"/>
      <c r="BM261" s="143"/>
      <c r="BN261" s="143"/>
      <c r="BO261" s="143"/>
      <c r="BP261" s="143"/>
      <c r="BQ261" s="143"/>
      <c r="BR261" s="143"/>
      <c r="BS261" s="143"/>
      <c r="BT261" s="143"/>
      <c r="BU261" s="143"/>
      <c r="BV261" s="143"/>
      <c r="BW261" s="143"/>
      <c r="BX261" s="143"/>
      <c r="BY261" s="143"/>
      <c r="BZ261" s="143"/>
      <c r="CA261" s="143"/>
      <c r="CB261" s="143"/>
      <c r="CC261" s="143"/>
      <c r="CD261" s="143"/>
    </row>
    <row r="262" spans="1:82" ht="16.5" customHeight="1" x14ac:dyDescent="0.15">
      <c r="A262" s="35"/>
      <c r="B262" s="35"/>
      <c r="C262" s="35"/>
      <c r="D262" s="35"/>
      <c r="E262" s="35"/>
      <c r="F262" s="35"/>
      <c r="G262" s="35"/>
      <c r="H262" s="34"/>
      <c r="I262" s="36"/>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137"/>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row>
    <row r="263" spans="1:82" ht="16.5" customHeight="1" x14ac:dyDescent="0.15">
      <c r="A263" s="35"/>
      <c r="B263" s="35"/>
      <c r="C263" s="35"/>
      <c r="D263" s="35"/>
      <c r="E263" s="35"/>
      <c r="F263" s="35"/>
      <c r="G263" s="35"/>
      <c r="H263" s="34"/>
      <c r="I263" s="36"/>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137"/>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row>
    <row r="264" spans="1:82" ht="16.5" customHeight="1" x14ac:dyDescent="0.15">
      <c r="A264" s="35"/>
      <c r="B264" s="35"/>
      <c r="C264" s="35"/>
      <c r="D264" s="35"/>
      <c r="E264" s="35"/>
      <c r="F264" s="35"/>
      <c r="G264" s="35"/>
      <c r="H264" s="34"/>
      <c r="I264" s="36"/>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137"/>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row>
    <row r="265" spans="1:82" ht="16.5" customHeight="1" x14ac:dyDescent="0.15">
      <c r="A265" s="35"/>
      <c r="B265" s="35"/>
      <c r="C265" s="35"/>
      <c r="D265" s="35"/>
      <c r="E265" s="35"/>
      <c r="F265" s="35"/>
      <c r="G265" s="35"/>
      <c r="H265" s="34"/>
      <c r="I265" s="36"/>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137"/>
      <c r="BK265" s="143"/>
      <c r="BL265" s="143"/>
      <c r="BM265" s="143"/>
      <c r="BN265" s="143"/>
      <c r="BO265" s="143"/>
      <c r="BP265" s="143"/>
      <c r="BQ265" s="143"/>
      <c r="BR265" s="143"/>
      <c r="BS265" s="143"/>
      <c r="BT265" s="143"/>
      <c r="BU265" s="143"/>
      <c r="BV265" s="143"/>
      <c r="BW265" s="143"/>
      <c r="BX265" s="143"/>
      <c r="BY265" s="143"/>
      <c r="BZ265" s="143"/>
      <c r="CA265" s="143"/>
      <c r="CB265" s="143"/>
      <c r="CC265" s="143"/>
      <c r="CD265" s="143"/>
    </row>
    <row r="266" spans="1:82" ht="16.5" customHeight="1" x14ac:dyDescent="0.15">
      <c r="A266" s="35"/>
      <c r="B266" s="35"/>
      <c r="C266" s="35"/>
      <c r="D266" s="35"/>
      <c r="E266" s="35"/>
      <c r="F266" s="35"/>
      <c r="G266" s="35"/>
      <c r="H266" s="34"/>
      <c r="I266" s="36"/>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137"/>
      <c r="BK266" s="143"/>
      <c r="BL266" s="143"/>
      <c r="BM266" s="143"/>
      <c r="BN266" s="143"/>
      <c r="BO266" s="143"/>
      <c r="BP266" s="143"/>
      <c r="BQ266" s="143"/>
      <c r="BR266" s="143"/>
      <c r="BS266" s="143"/>
      <c r="BT266" s="143"/>
      <c r="BU266" s="143"/>
      <c r="BV266" s="143"/>
      <c r="BW266" s="143"/>
      <c r="BX266" s="143"/>
      <c r="BY266" s="143"/>
      <c r="BZ266" s="143"/>
      <c r="CA266" s="143"/>
      <c r="CB266" s="143"/>
      <c r="CC266" s="143"/>
      <c r="CD266" s="143"/>
    </row>
    <row r="267" spans="1:82" ht="16.5" customHeight="1" x14ac:dyDescent="0.15">
      <c r="A267" s="35"/>
      <c r="B267" s="35"/>
      <c r="C267" s="35"/>
      <c r="D267" s="35"/>
      <c r="E267" s="35"/>
      <c r="F267" s="35"/>
      <c r="G267" s="35"/>
      <c r="H267" s="34"/>
      <c r="I267" s="36"/>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137"/>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row>
    <row r="268" spans="1:82" ht="16.5" customHeight="1" x14ac:dyDescent="0.15">
      <c r="A268" s="35"/>
      <c r="B268" s="35"/>
      <c r="C268" s="35"/>
      <c r="D268" s="35"/>
      <c r="E268" s="35"/>
      <c r="F268" s="35"/>
      <c r="G268" s="35"/>
      <c r="H268" s="34"/>
      <c r="I268" s="36"/>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137"/>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row>
    <row r="269" spans="1:82" ht="16.5" customHeight="1" x14ac:dyDescent="0.15">
      <c r="A269" s="35"/>
      <c r="B269" s="35"/>
      <c r="C269" s="35"/>
      <c r="D269" s="35"/>
      <c r="E269" s="35"/>
      <c r="F269" s="35"/>
      <c r="G269" s="35"/>
      <c r="H269" s="34"/>
      <c r="I269" s="36"/>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137"/>
      <c r="BK269" s="143"/>
      <c r="BL269" s="143"/>
      <c r="BM269" s="143"/>
      <c r="BN269" s="143"/>
      <c r="BO269" s="143"/>
      <c r="BP269" s="143"/>
      <c r="BQ269" s="143"/>
      <c r="BR269" s="143"/>
      <c r="BS269" s="143"/>
      <c r="BT269" s="143"/>
      <c r="BU269" s="143"/>
      <c r="BV269" s="143"/>
      <c r="BW269" s="143"/>
      <c r="BX269" s="143"/>
      <c r="BY269" s="143"/>
      <c r="BZ269" s="143"/>
      <c r="CA269" s="143"/>
      <c r="CB269" s="143"/>
      <c r="CC269" s="143"/>
      <c r="CD269" s="143"/>
    </row>
    <row r="270" spans="1:82" ht="16.5" customHeight="1" x14ac:dyDescent="0.15">
      <c r="A270" s="35"/>
      <c r="B270" s="35"/>
      <c r="C270" s="35"/>
      <c r="D270" s="35"/>
      <c r="E270" s="35"/>
      <c r="F270" s="35"/>
      <c r="G270" s="35"/>
      <c r="H270" s="34"/>
      <c r="I270" s="36"/>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137"/>
      <c r="BK270" s="143"/>
      <c r="BL270" s="143"/>
      <c r="BM270" s="143"/>
      <c r="BN270" s="143"/>
      <c r="BO270" s="143"/>
      <c r="BP270" s="143"/>
      <c r="BQ270" s="143"/>
      <c r="BR270" s="143"/>
      <c r="BS270" s="143"/>
      <c r="BT270" s="143"/>
      <c r="BU270" s="143"/>
      <c r="BV270" s="143"/>
      <c r="BW270" s="143"/>
      <c r="BX270" s="143"/>
      <c r="BY270" s="143"/>
      <c r="BZ270" s="143"/>
      <c r="CA270" s="143"/>
      <c r="CB270" s="143"/>
      <c r="CC270" s="143"/>
      <c r="CD270" s="143"/>
    </row>
    <row r="271" spans="1:82" ht="16.5" customHeight="1" x14ac:dyDescent="0.15">
      <c r="A271" s="35"/>
      <c r="B271" s="35"/>
      <c r="C271" s="35"/>
      <c r="D271" s="35"/>
      <c r="E271" s="35"/>
      <c r="F271" s="35"/>
      <c r="G271" s="35"/>
      <c r="H271" s="34"/>
      <c r="I271" s="36"/>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137"/>
      <c r="BK271" s="143"/>
      <c r="BL271" s="143"/>
      <c r="BM271" s="143"/>
      <c r="BN271" s="143"/>
      <c r="BO271" s="143"/>
      <c r="BP271" s="143"/>
      <c r="BQ271" s="143"/>
      <c r="BR271" s="143"/>
      <c r="BS271" s="143"/>
      <c r="BT271" s="143"/>
      <c r="BU271" s="143"/>
      <c r="BV271" s="143"/>
      <c r="BW271" s="143"/>
      <c r="BX271" s="143"/>
      <c r="BY271" s="143"/>
      <c r="BZ271" s="143"/>
      <c r="CA271" s="143"/>
      <c r="CB271" s="143"/>
      <c r="CC271" s="143"/>
      <c r="CD271" s="143"/>
    </row>
    <row r="272" spans="1:82" ht="16.5" customHeight="1" x14ac:dyDescent="0.15">
      <c r="A272" s="35"/>
      <c r="B272" s="35"/>
      <c r="C272" s="35"/>
      <c r="D272" s="35"/>
      <c r="E272" s="35"/>
      <c r="F272" s="35"/>
      <c r="G272" s="35"/>
      <c r="H272" s="34"/>
      <c r="I272" s="36"/>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137"/>
      <c r="BK272" s="143"/>
      <c r="BL272" s="143"/>
      <c r="BM272" s="143"/>
      <c r="BN272" s="143"/>
      <c r="BO272" s="143"/>
      <c r="BP272" s="143"/>
      <c r="BQ272" s="143"/>
      <c r="BR272" s="143"/>
      <c r="BS272" s="143"/>
      <c r="BT272" s="143"/>
      <c r="BU272" s="143"/>
      <c r="BV272" s="143"/>
      <c r="BW272" s="143"/>
      <c r="BX272" s="143"/>
      <c r="BY272" s="143"/>
      <c r="BZ272" s="143"/>
      <c r="CA272" s="143"/>
      <c r="CB272" s="143"/>
      <c r="CC272" s="143"/>
      <c r="CD272" s="143"/>
    </row>
    <row r="273" spans="1:82" ht="16.5" customHeight="1" x14ac:dyDescent="0.15">
      <c r="A273" s="35"/>
      <c r="B273" s="35"/>
      <c r="C273" s="35"/>
      <c r="D273" s="35"/>
      <c r="E273" s="35"/>
      <c r="F273" s="35"/>
      <c r="G273" s="35"/>
      <c r="H273" s="34"/>
      <c r="I273" s="36"/>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137"/>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row>
    <row r="274" spans="1:82" ht="16.5" customHeight="1" x14ac:dyDescent="0.15">
      <c r="A274" s="35"/>
      <c r="B274" s="35"/>
      <c r="C274" s="35"/>
      <c r="D274" s="35"/>
      <c r="E274" s="35"/>
      <c r="F274" s="35"/>
      <c r="G274" s="35"/>
      <c r="H274" s="34"/>
      <c r="I274" s="36"/>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137"/>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row>
    <row r="275" spans="1:82" ht="16.5" customHeight="1" x14ac:dyDescent="0.15">
      <c r="A275" s="35"/>
      <c r="B275" s="35"/>
      <c r="C275" s="35"/>
      <c r="D275" s="35"/>
      <c r="E275" s="35"/>
      <c r="F275" s="35"/>
      <c r="G275" s="35"/>
      <c r="H275" s="34"/>
      <c r="I275" s="36"/>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137"/>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row>
    <row r="276" spans="1:82" ht="16.5" customHeight="1" x14ac:dyDescent="0.15">
      <c r="A276" s="35"/>
      <c r="B276" s="35"/>
      <c r="C276" s="35"/>
      <c r="D276" s="35"/>
      <c r="E276" s="35"/>
      <c r="F276" s="35"/>
      <c r="G276" s="35"/>
      <c r="H276" s="34"/>
      <c r="I276" s="36"/>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137"/>
      <c r="BK276" s="143"/>
      <c r="BL276" s="143"/>
      <c r="BM276" s="143"/>
      <c r="BN276" s="143"/>
      <c r="BO276" s="143"/>
      <c r="BP276" s="143"/>
      <c r="BQ276" s="143"/>
      <c r="BR276" s="143"/>
      <c r="BS276" s="143"/>
      <c r="BT276" s="143"/>
      <c r="BU276" s="143"/>
      <c r="BV276" s="143"/>
      <c r="BW276" s="143"/>
      <c r="BX276" s="143"/>
      <c r="BY276" s="143"/>
      <c r="BZ276" s="143"/>
      <c r="CA276" s="143"/>
      <c r="CB276" s="143"/>
      <c r="CC276" s="143"/>
      <c r="CD276" s="143"/>
    </row>
    <row r="277" spans="1:82" ht="16.5" customHeight="1" x14ac:dyDescent="0.15">
      <c r="A277" s="35"/>
      <c r="B277" s="35"/>
      <c r="C277" s="35"/>
      <c r="D277" s="35"/>
      <c r="E277" s="35"/>
      <c r="F277" s="35"/>
      <c r="G277" s="35"/>
      <c r="H277" s="34"/>
      <c r="I277" s="36"/>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137"/>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row>
    <row r="278" spans="1:82" ht="16.5" customHeight="1" x14ac:dyDescent="0.15">
      <c r="A278" s="35"/>
      <c r="B278" s="35"/>
      <c r="C278" s="35"/>
      <c r="D278" s="35"/>
      <c r="E278" s="35"/>
      <c r="F278" s="35"/>
      <c r="G278" s="35"/>
      <c r="H278" s="34"/>
      <c r="I278" s="36"/>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137"/>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row>
    <row r="279" spans="1:82" ht="16.5" customHeight="1" x14ac:dyDescent="0.15">
      <c r="A279" s="35"/>
      <c r="B279" s="35"/>
      <c r="C279" s="35"/>
      <c r="D279" s="35"/>
      <c r="E279" s="35"/>
      <c r="F279" s="35"/>
      <c r="G279" s="35"/>
      <c r="H279" s="34"/>
      <c r="I279" s="36"/>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137"/>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row>
    <row r="280" spans="1:82" ht="16.5" customHeight="1" x14ac:dyDescent="0.15">
      <c r="A280" s="35"/>
      <c r="B280" s="35"/>
      <c r="C280" s="35"/>
      <c r="D280" s="35"/>
      <c r="E280" s="35"/>
      <c r="F280" s="35"/>
      <c r="G280" s="35"/>
      <c r="H280" s="34"/>
      <c r="I280" s="36"/>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137"/>
      <c r="BK280" s="143"/>
      <c r="BL280" s="143"/>
      <c r="BM280" s="143"/>
      <c r="BN280" s="143"/>
      <c r="BO280" s="143"/>
      <c r="BP280" s="143"/>
      <c r="BQ280" s="143"/>
      <c r="BR280" s="143"/>
      <c r="BS280" s="143"/>
      <c r="BT280" s="143"/>
      <c r="BU280" s="143"/>
      <c r="BV280" s="143"/>
      <c r="BW280" s="143"/>
      <c r="BX280" s="143"/>
      <c r="BY280" s="143"/>
      <c r="BZ280" s="143"/>
      <c r="CA280" s="143"/>
      <c r="CB280" s="143"/>
      <c r="CC280" s="143"/>
      <c r="CD280" s="143"/>
    </row>
    <row r="281" spans="1:82" ht="16.5" customHeight="1" x14ac:dyDescent="0.15">
      <c r="A281" s="35"/>
      <c r="B281" s="35"/>
      <c r="C281" s="35"/>
      <c r="D281" s="35"/>
      <c r="E281" s="35"/>
      <c r="F281" s="35"/>
      <c r="G281" s="35"/>
      <c r="H281" s="34"/>
      <c r="I281" s="36"/>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137"/>
      <c r="BK281" s="143"/>
      <c r="BL281" s="143"/>
      <c r="BM281" s="143"/>
      <c r="BN281" s="143"/>
      <c r="BO281" s="143"/>
      <c r="BP281" s="143"/>
      <c r="BQ281" s="143"/>
      <c r="BR281" s="143"/>
      <c r="BS281" s="143"/>
      <c r="BT281" s="143"/>
      <c r="BU281" s="143"/>
      <c r="BV281" s="143"/>
      <c r="BW281" s="143"/>
      <c r="BX281" s="143"/>
      <c r="BY281" s="143"/>
      <c r="BZ281" s="143"/>
      <c r="CA281" s="143"/>
      <c r="CB281" s="143"/>
      <c r="CC281" s="143"/>
      <c r="CD281" s="143"/>
    </row>
    <row r="282" spans="1:82" ht="16.5" customHeight="1" x14ac:dyDescent="0.15">
      <c r="A282" s="35"/>
      <c r="B282" s="35"/>
      <c r="C282" s="35"/>
      <c r="D282" s="35"/>
      <c r="E282" s="35"/>
      <c r="F282" s="35"/>
      <c r="G282" s="35"/>
      <c r="H282" s="34"/>
      <c r="I282" s="36"/>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137"/>
      <c r="BK282" s="143"/>
      <c r="BL282" s="143"/>
      <c r="BM282" s="143"/>
      <c r="BN282" s="143"/>
      <c r="BO282" s="143"/>
      <c r="BP282" s="143"/>
      <c r="BQ282" s="143"/>
      <c r="BR282" s="143"/>
      <c r="BS282" s="143"/>
      <c r="BT282" s="143"/>
      <c r="BU282" s="143"/>
      <c r="BV282" s="143"/>
      <c r="BW282" s="143"/>
      <c r="BX282" s="143"/>
      <c r="BY282" s="143"/>
      <c r="BZ282" s="143"/>
      <c r="CA282" s="143"/>
      <c r="CB282" s="143"/>
      <c r="CC282" s="143"/>
      <c r="CD282" s="143"/>
    </row>
    <row r="283" spans="1:82" ht="16.5" customHeight="1" x14ac:dyDescent="0.15">
      <c r="A283" s="35"/>
      <c r="B283" s="35"/>
      <c r="C283" s="35"/>
      <c r="D283" s="35"/>
      <c r="E283" s="35"/>
      <c r="F283" s="35"/>
      <c r="G283" s="35"/>
      <c r="H283" s="34"/>
      <c r="I283" s="36"/>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137"/>
      <c r="BK283" s="143"/>
      <c r="BL283" s="143"/>
      <c r="BM283" s="143"/>
      <c r="BN283" s="143"/>
      <c r="BO283" s="143"/>
      <c r="BP283" s="143"/>
      <c r="BQ283" s="143"/>
      <c r="BR283" s="143"/>
      <c r="BS283" s="143"/>
      <c r="BT283" s="143"/>
      <c r="BU283" s="143"/>
      <c r="BV283" s="143"/>
      <c r="BW283" s="143"/>
      <c r="BX283" s="143"/>
      <c r="BY283" s="143"/>
      <c r="BZ283" s="143"/>
      <c r="CA283" s="143"/>
      <c r="CB283" s="143"/>
      <c r="CC283" s="143"/>
      <c r="CD283" s="143"/>
    </row>
    <row r="284" spans="1:82" ht="16.5" customHeight="1" x14ac:dyDescent="0.15">
      <c r="A284" s="35"/>
      <c r="B284" s="35"/>
      <c r="C284" s="35"/>
      <c r="D284" s="35"/>
      <c r="E284" s="35"/>
      <c r="F284" s="35"/>
      <c r="G284" s="35"/>
      <c r="H284" s="34"/>
      <c r="I284" s="36"/>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137"/>
      <c r="BK284" s="143"/>
      <c r="BL284" s="143"/>
      <c r="BM284" s="143"/>
      <c r="BN284" s="143"/>
      <c r="BO284" s="143"/>
      <c r="BP284" s="143"/>
      <c r="BQ284" s="143"/>
      <c r="BR284" s="143"/>
      <c r="BS284" s="143"/>
      <c r="BT284" s="143"/>
      <c r="BU284" s="143"/>
      <c r="BV284" s="143"/>
      <c r="BW284" s="143"/>
      <c r="BX284" s="143"/>
      <c r="BY284" s="143"/>
      <c r="BZ284" s="143"/>
      <c r="CA284" s="143"/>
      <c r="CB284" s="143"/>
      <c r="CC284" s="143"/>
      <c r="CD284" s="143"/>
    </row>
    <row r="285" spans="1:82" ht="16.5" customHeight="1" x14ac:dyDescent="0.15">
      <c r="A285" s="35"/>
      <c r="B285" s="35"/>
      <c r="C285" s="35"/>
      <c r="D285" s="35"/>
      <c r="E285" s="35"/>
      <c r="F285" s="35"/>
      <c r="G285" s="35"/>
      <c r="H285" s="34"/>
      <c r="I285" s="36"/>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137"/>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row>
    <row r="286" spans="1:82" ht="16.5" customHeight="1" x14ac:dyDescent="0.15">
      <c r="A286" s="35"/>
      <c r="B286" s="35"/>
      <c r="C286" s="35"/>
      <c r="D286" s="35"/>
      <c r="E286" s="35"/>
      <c r="F286" s="35"/>
      <c r="G286" s="35"/>
      <c r="H286" s="34"/>
      <c r="I286" s="36"/>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137"/>
      <c r="BK286" s="143"/>
      <c r="BL286" s="143"/>
      <c r="BM286" s="143"/>
      <c r="BN286" s="143"/>
      <c r="BO286" s="143"/>
      <c r="BP286" s="143"/>
      <c r="BQ286" s="143"/>
      <c r="BR286" s="143"/>
      <c r="BS286" s="143"/>
      <c r="BT286" s="143"/>
      <c r="BU286" s="143"/>
      <c r="BV286" s="143"/>
      <c r="BW286" s="143"/>
      <c r="BX286" s="143"/>
      <c r="BY286" s="143"/>
      <c r="BZ286" s="143"/>
      <c r="CA286" s="143"/>
      <c r="CB286" s="143"/>
      <c r="CC286" s="143"/>
      <c r="CD286" s="143"/>
    </row>
    <row r="287" spans="1:82" ht="16.5" customHeight="1" x14ac:dyDescent="0.15">
      <c r="A287" s="35"/>
      <c r="B287" s="35"/>
      <c r="C287" s="35"/>
      <c r="D287" s="35"/>
      <c r="E287" s="35"/>
      <c r="F287" s="35"/>
      <c r="G287" s="35"/>
      <c r="H287" s="34"/>
      <c r="I287" s="36"/>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137"/>
      <c r="BK287" s="143"/>
      <c r="BL287" s="143"/>
      <c r="BM287" s="143"/>
      <c r="BN287" s="143"/>
      <c r="BO287" s="143"/>
      <c r="BP287" s="143"/>
      <c r="BQ287" s="143"/>
      <c r="BR287" s="143"/>
      <c r="BS287" s="143"/>
      <c r="BT287" s="143"/>
      <c r="BU287" s="143"/>
      <c r="BV287" s="143"/>
      <c r="BW287" s="143"/>
      <c r="BX287" s="143"/>
      <c r="BY287" s="143"/>
      <c r="BZ287" s="143"/>
      <c r="CA287" s="143"/>
      <c r="CB287" s="143"/>
      <c r="CC287" s="143"/>
      <c r="CD287" s="143"/>
    </row>
    <row r="288" spans="1:82" ht="16.5" customHeight="1" x14ac:dyDescent="0.15">
      <c r="A288" s="35"/>
      <c r="B288" s="35"/>
      <c r="C288" s="35"/>
      <c r="D288" s="35"/>
      <c r="E288" s="35"/>
      <c r="F288" s="35"/>
      <c r="G288" s="35"/>
      <c r="H288" s="34"/>
      <c r="I288" s="36"/>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137"/>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row>
    <row r="289" spans="1:82" ht="16.5" customHeight="1" x14ac:dyDescent="0.15">
      <c r="A289" s="35"/>
      <c r="B289" s="35"/>
      <c r="C289" s="35"/>
      <c r="D289" s="35"/>
      <c r="E289" s="35"/>
      <c r="F289" s="35"/>
      <c r="G289" s="35"/>
      <c r="H289" s="34"/>
      <c r="I289" s="36"/>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137"/>
      <c r="BK289" s="143"/>
      <c r="BL289" s="143"/>
      <c r="BM289" s="143"/>
      <c r="BN289" s="143"/>
      <c r="BO289" s="143"/>
      <c r="BP289" s="143"/>
      <c r="BQ289" s="143"/>
      <c r="BR289" s="143"/>
      <c r="BS289" s="143"/>
      <c r="BT289" s="143"/>
      <c r="BU289" s="143"/>
      <c r="BV289" s="143"/>
      <c r="BW289" s="143"/>
      <c r="BX289" s="143"/>
      <c r="BY289" s="143"/>
      <c r="BZ289" s="143"/>
      <c r="CA289" s="143"/>
      <c r="CB289" s="143"/>
      <c r="CC289" s="143"/>
      <c r="CD289" s="143"/>
    </row>
    <row r="290" spans="1:82" ht="16.5" customHeight="1" x14ac:dyDescent="0.15">
      <c r="A290" s="35"/>
      <c r="B290" s="35"/>
      <c r="C290" s="35"/>
      <c r="D290" s="35"/>
      <c r="E290" s="35"/>
      <c r="F290" s="35"/>
      <c r="G290" s="35"/>
      <c r="H290" s="34"/>
      <c r="I290" s="36"/>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137"/>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row>
    <row r="291" spans="1:82" ht="16.5" customHeight="1" x14ac:dyDescent="0.15">
      <c r="A291" s="35"/>
      <c r="B291" s="35"/>
      <c r="C291" s="35"/>
      <c r="D291" s="35"/>
      <c r="E291" s="35"/>
      <c r="F291" s="35"/>
      <c r="G291" s="35"/>
      <c r="H291" s="34"/>
      <c r="I291" s="36"/>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137"/>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row>
    <row r="292" spans="1:82" ht="16.5" customHeight="1" x14ac:dyDescent="0.15">
      <c r="A292" s="35"/>
      <c r="B292" s="35"/>
      <c r="C292" s="35"/>
      <c r="D292" s="35"/>
      <c r="E292" s="35"/>
      <c r="F292" s="35"/>
      <c r="G292" s="35"/>
      <c r="H292" s="34"/>
      <c r="I292" s="36"/>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137"/>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row>
    <row r="293" spans="1:82" ht="16.5" customHeight="1" x14ac:dyDescent="0.15">
      <c r="A293" s="35"/>
      <c r="B293" s="35"/>
      <c r="C293" s="35"/>
      <c r="D293" s="35"/>
      <c r="E293" s="35"/>
      <c r="F293" s="35"/>
      <c r="G293" s="35"/>
      <c r="H293" s="34"/>
      <c r="I293" s="36"/>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137"/>
      <c r="BK293" s="143"/>
      <c r="BL293" s="143"/>
      <c r="BM293" s="143"/>
      <c r="BN293" s="143"/>
      <c r="BO293" s="143"/>
      <c r="BP293" s="143"/>
      <c r="BQ293" s="143"/>
      <c r="BR293" s="143"/>
      <c r="BS293" s="143"/>
      <c r="BT293" s="143"/>
      <c r="BU293" s="143"/>
      <c r="BV293" s="143"/>
      <c r="BW293" s="143"/>
      <c r="BX293" s="143"/>
      <c r="BY293" s="143"/>
      <c r="BZ293" s="143"/>
      <c r="CA293" s="143"/>
      <c r="CB293" s="143"/>
      <c r="CC293" s="143"/>
      <c r="CD293" s="143"/>
    </row>
    <row r="294" spans="1:82" ht="16.5" customHeight="1" x14ac:dyDescent="0.15">
      <c r="A294" s="35"/>
      <c r="B294" s="35"/>
      <c r="C294" s="35"/>
      <c r="D294" s="35"/>
      <c r="E294" s="35"/>
      <c r="F294" s="35"/>
      <c r="G294" s="35"/>
      <c r="H294" s="34"/>
      <c r="I294" s="36"/>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137"/>
      <c r="BK294" s="143"/>
      <c r="BL294" s="143"/>
      <c r="BM294" s="143"/>
      <c r="BN294" s="143"/>
      <c r="BO294" s="143"/>
      <c r="BP294" s="143"/>
      <c r="BQ294" s="143"/>
      <c r="BR294" s="143"/>
      <c r="BS294" s="143"/>
      <c r="BT294" s="143"/>
      <c r="BU294" s="143"/>
      <c r="BV294" s="143"/>
      <c r="BW294" s="143"/>
      <c r="BX294" s="143"/>
      <c r="BY294" s="143"/>
      <c r="BZ294" s="143"/>
      <c r="CA294" s="143"/>
      <c r="CB294" s="143"/>
      <c r="CC294" s="143"/>
      <c r="CD294" s="143"/>
    </row>
    <row r="295" spans="1:82" ht="16.5" customHeight="1" x14ac:dyDescent="0.15">
      <c r="A295" s="35"/>
      <c r="B295" s="35"/>
      <c r="C295" s="35"/>
      <c r="D295" s="35"/>
      <c r="E295" s="35"/>
      <c r="F295" s="35"/>
      <c r="G295" s="35"/>
      <c r="H295" s="34"/>
      <c r="I295" s="36"/>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137"/>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row>
    <row r="296" spans="1:82" ht="16.5" customHeight="1" x14ac:dyDescent="0.15">
      <c r="A296" s="35"/>
      <c r="B296" s="35"/>
      <c r="C296" s="35"/>
      <c r="D296" s="35"/>
      <c r="E296" s="35"/>
      <c r="F296" s="35"/>
      <c r="G296" s="35"/>
      <c r="H296" s="34"/>
      <c r="I296" s="36"/>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137"/>
      <c r="BK296" s="143"/>
      <c r="BL296" s="143"/>
      <c r="BM296" s="143"/>
      <c r="BN296" s="143"/>
      <c r="BO296" s="143"/>
      <c r="BP296" s="143"/>
      <c r="BQ296" s="143"/>
      <c r="BR296" s="143"/>
      <c r="BS296" s="143"/>
      <c r="BT296" s="143"/>
      <c r="BU296" s="143"/>
      <c r="BV296" s="143"/>
      <c r="BW296" s="143"/>
      <c r="BX296" s="143"/>
      <c r="BY296" s="143"/>
      <c r="BZ296" s="143"/>
      <c r="CA296" s="143"/>
      <c r="CB296" s="143"/>
      <c r="CC296" s="143"/>
      <c r="CD296" s="143"/>
    </row>
    <row r="297" spans="1:82" ht="16.5" customHeight="1" x14ac:dyDescent="0.15">
      <c r="A297" s="35"/>
      <c r="B297" s="35"/>
      <c r="C297" s="35"/>
      <c r="D297" s="35"/>
      <c r="E297" s="35"/>
      <c r="F297" s="35"/>
      <c r="G297" s="35"/>
      <c r="H297" s="34"/>
      <c r="I297" s="36"/>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137"/>
      <c r="BK297" s="143"/>
      <c r="BL297" s="143"/>
      <c r="BM297" s="143"/>
      <c r="BN297" s="143"/>
      <c r="BO297" s="143"/>
      <c r="BP297" s="143"/>
      <c r="BQ297" s="143"/>
      <c r="BR297" s="143"/>
      <c r="BS297" s="143"/>
      <c r="BT297" s="143"/>
      <c r="BU297" s="143"/>
      <c r="BV297" s="143"/>
      <c r="BW297" s="143"/>
      <c r="BX297" s="143"/>
      <c r="BY297" s="143"/>
      <c r="BZ297" s="143"/>
      <c r="CA297" s="143"/>
      <c r="CB297" s="143"/>
      <c r="CC297" s="143"/>
      <c r="CD297" s="143"/>
    </row>
    <row r="298" spans="1:82" ht="16.5" customHeight="1" x14ac:dyDescent="0.15">
      <c r="A298" s="35"/>
      <c r="B298" s="35"/>
      <c r="C298" s="35"/>
      <c r="D298" s="35"/>
      <c r="E298" s="35"/>
      <c r="F298" s="35"/>
      <c r="G298" s="35"/>
      <c r="H298" s="34"/>
      <c r="I298" s="36"/>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137"/>
      <c r="BK298" s="143"/>
      <c r="BL298" s="143"/>
      <c r="BM298" s="143"/>
      <c r="BN298" s="143"/>
      <c r="BO298" s="143"/>
      <c r="BP298" s="143"/>
      <c r="BQ298" s="143"/>
      <c r="BR298" s="143"/>
      <c r="BS298" s="143"/>
      <c r="BT298" s="143"/>
      <c r="BU298" s="143"/>
      <c r="BV298" s="143"/>
      <c r="BW298" s="143"/>
      <c r="BX298" s="143"/>
      <c r="BY298" s="143"/>
      <c r="BZ298" s="143"/>
      <c r="CA298" s="143"/>
      <c r="CB298" s="143"/>
      <c r="CC298" s="143"/>
      <c r="CD298" s="143"/>
    </row>
    <row r="299" spans="1:82" ht="16.5" customHeight="1" x14ac:dyDescent="0.15">
      <c r="A299" s="35"/>
      <c r="B299" s="35"/>
      <c r="C299" s="35"/>
      <c r="D299" s="35"/>
      <c r="E299" s="35"/>
      <c r="F299" s="35"/>
      <c r="G299" s="35"/>
      <c r="H299" s="34"/>
      <c r="I299" s="36"/>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137"/>
      <c r="BK299" s="143"/>
      <c r="BL299" s="143"/>
      <c r="BM299" s="143"/>
      <c r="BN299" s="143"/>
      <c r="BO299" s="143"/>
      <c r="BP299" s="143"/>
      <c r="BQ299" s="143"/>
      <c r="BR299" s="143"/>
      <c r="BS299" s="143"/>
      <c r="BT299" s="143"/>
      <c r="BU299" s="143"/>
      <c r="BV299" s="143"/>
      <c r="BW299" s="143"/>
      <c r="BX299" s="143"/>
      <c r="BY299" s="143"/>
      <c r="BZ299" s="143"/>
      <c r="CA299" s="143"/>
      <c r="CB299" s="143"/>
      <c r="CC299" s="143"/>
      <c r="CD299" s="143"/>
    </row>
    <row r="300" spans="1:82" ht="16.5" customHeight="1" x14ac:dyDescent="0.15">
      <c r="A300" s="35"/>
      <c r="B300" s="35"/>
      <c r="C300" s="35"/>
      <c r="D300" s="35"/>
      <c r="E300" s="35"/>
      <c r="F300" s="35"/>
      <c r="G300" s="35"/>
      <c r="H300" s="34"/>
      <c r="I300" s="36"/>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137"/>
      <c r="BK300" s="143"/>
      <c r="BL300" s="143"/>
      <c r="BM300" s="143"/>
      <c r="BN300" s="143"/>
      <c r="BO300" s="143"/>
      <c r="BP300" s="143"/>
      <c r="BQ300" s="143"/>
      <c r="BR300" s="143"/>
      <c r="BS300" s="143"/>
      <c r="BT300" s="143"/>
      <c r="BU300" s="143"/>
      <c r="BV300" s="143"/>
      <c r="BW300" s="143"/>
      <c r="BX300" s="143"/>
      <c r="BY300" s="143"/>
      <c r="BZ300" s="143"/>
      <c r="CA300" s="143"/>
      <c r="CB300" s="143"/>
      <c r="CC300" s="143"/>
      <c r="CD300" s="143"/>
    </row>
    <row r="301" spans="1:82" ht="16.5" customHeight="1" x14ac:dyDescent="0.15">
      <c r="A301" s="35"/>
      <c r="B301" s="35"/>
      <c r="C301" s="35"/>
      <c r="D301" s="35"/>
      <c r="E301" s="35"/>
      <c r="F301" s="35"/>
      <c r="G301" s="35"/>
      <c r="H301" s="34"/>
      <c r="I301" s="36"/>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137"/>
      <c r="BK301" s="143"/>
      <c r="BL301" s="143"/>
      <c r="BM301" s="143"/>
      <c r="BN301" s="143"/>
      <c r="BO301" s="143"/>
      <c r="BP301" s="143"/>
      <c r="BQ301" s="143"/>
      <c r="BR301" s="143"/>
      <c r="BS301" s="143"/>
      <c r="BT301" s="143"/>
      <c r="BU301" s="143"/>
      <c r="BV301" s="143"/>
      <c r="BW301" s="143"/>
      <c r="BX301" s="143"/>
      <c r="BY301" s="143"/>
      <c r="BZ301" s="143"/>
      <c r="CA301" s="143"/>
      <c r="CB301" s="143"/>
      <c r="CC301" s="143"/>
      <c r="CD301" s="143"/>
    </row>
    <row r="302" spans="1:82" ht="16.5" customHeight="1" x14ac:dyDescent="0.15">
      <c r="A302" s="35"/>
      <c r="B302" s="35"/>
      <c r="C302" s="35"/>
      <c r="D302" s="35"/>
      <c r="E302" s="35"/>
      <c r="F302" s="35"/>
      <c r="G302" s="35"/>
      <c r="H302" s="34"/>
      <c r="I302" s="36"/>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137"/>
      <c r="BK302" s="143"/>
      <c r="BL302" s="143"/>
      <c r="BM302" s="143"/>
      <c r="BN302" s="143"/>
      <c r="BO302" s="143"/>
      <c r="BP302" s="143"/>
      <c r="BQ302" s="143"/>
      <c r="BR302" s="143"/>
      <c r="BS302" s="143"/>
      <c r="BT302" s="143"/>
      <c r="BU302" s="143"/>
      <c r="BV302" s="143"/>
      <c r="BW302" s="143"/>
      <c r="BX302" s="143"/>
      <c r="BY302" s="143"/>
      <c r="BZ302" s="143"/>
      <c r="CA302" s="143"/>
      <c r="CB302" s="143"/>
      <c r="CC302" s="143"/>
      <c r="CD302" s="143"/>
    </row>
    <row r="303" spans="1:82" ht="16.5" customHeight="1" x14ac:dyDescent="0.15">
      <c r="A303" s="35"/>
      <c r="B303" s="35"/>
      <c r="C303" s="35"/>
      <c r="D303" s="35"/>
      <c r="E303" s="35"/>
      <c r="F303" s="35"/>
      <c r="G303" s="35"/>
      <c r="H303" s="34"/>
      <c r="I303" s="36"/>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137"/>
      <c r="BK303" s="143"/>
      <c r="BL303" s="143"/>
      <c r="BM303" s="143"/>
      <c r="BN303" s="143"/>
      <c r="BO303" s="143"/>
      <c r="BP303" s="143"/>
      <c r="BQ303" s="143"/>
      <c r="BR303" s="143"/>
      <c r="BS303" s="143"/>
      <c r="BT303" s="143"/>
      <c r="BU303" s="143"/>
      <c r="BV303" s="143"/>
      <c r="BW303" s="143"/>
      <c r="BX303" s="143"/>
      <c r="BY303" s="143"/>
      <c r="BZ303" s="143"/>
      <c r="CA303" s="143"/>
      <c r="CB303" s="143"/>
      <c r="CC303" s="143"/>
      <c r="CD303" s="143"/>
    </row>
    <row r="304" spans="1:82" ht="16.5" customHeight="1" x14ac:dyDescent="0.15">
      <c r="A304" s="35"/>
      <c r="B304" s="35"/>
      <c r="C304" s="35"/>
      <c r="D304" s="35"/>
      <c r="E304" s="35"/>
      <c r="F304" s="35"/>
      <c r="G304" s="35"/>
      <c r="H304" s="34"/>
      <c r="I304" s="36"/>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137"/>
      <c r="BK304" s="143"/>
      <c r="BL304" s="143"/>
      <c r="BM304" s="143"/>
      <c r="BN304" s="143"/>
      <c r="BO304" s="143"/>
      <c r="BP304" s="143"/>
      <c r="BQ304" s="143"/>
      <c r="BR304" s="143"/>
      <c r="BS304" s="143"/>
      <c r="BT304" s="143"/>
      <c r="BU304" s="143"/>
      <c r="BV304" s="143"/>
      <c r="BW304" s="143"/>
      <c r="BX304" s="143"/>
      <c r="BY304" s="143"/>
      <c r="BZ304" s="143"/>
      <c r="CA304" s="143"/>
      <c r="CB304" s="143"/>
      <c r="CC304" s="143"/>
      <c r="CD304" s="143"/>
    </row>
    <row r="305" spans="1:82" ht="16.5" customHeight="1" x14ac:dyDescent="0.15">
      <c r="A305" s="35"/>
      <c r="B305" s="35"/>
      <c r="C305" s="35"/>
      <c r="D305" s="35"/>
      <c r="E305" s="35"/>
      <c r="F305" s="35"/>
      <c r="G305" s="35"/>
      <c r="H305" s="34"/>
      <c r="I305" s="36"/>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137"/>
      <c r="BK305" s="143"/>
      <c r="BL305" s="143"/>
      <c r="BM305" s="143"/>
      <c r="BN305" s="143"/>
      <c r="BO305" s="143"/>
      <c r="BP305" s="143"/>
      <c r="BQ305" s="143"/>
      <c r="BR305" s="143"/>
      <c r="BS305" s="143"/>
      <c r="BT305" s="143"/>
      <c r="BU305" s="143"/>
      <c r="BV305" s="143"/>
      <c r="BW305" s="143"/>
      <c r="BX305" s="143"/>
      <c r="BY305" s="143"/>
      <c r="BZ305" s="143"/>
      <c r="CA305" s="143"/>
      <c r="CB305" s="143"/>
      <c r="CC305" s="143"/>
      <c r="CD305" s="143"/>
    </row>
    <row r="306" spans="1:82" ht="16.5" customHeight="1" x14ac:dyDescent="0.15">
      <c r="A306" s="35"/>
      <c r="B306" s="35"/>
      <c r="C306" s="35"/>
      <c r="D306" s="35"/>
      <c r="E306" s="35"/>
      <c r="F306" s="35"/>
      <c r="G306" s="35"/>
      <c r="H306" s="34"/>
      <c r="I306" s="36"/>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137"/>
      <c r="BK306" s="143"/>
      <c r="BL306" s="143"/>
      <c r="BM306" s="143"/>
      <c r="BN306" s="143"/>
      <c r="BO306" s="143"/>
      <c r="BP306" s="143"/>
      <c r="BQ306" s="143"/>
      <c r="BR306" s="143"/>
      <c r="BS306" s="143"/>
      <c r="BT306" s="143"/>
      <c r="BU306" s="143"/>
      <c r="BV306" s="143"/>
      <c r="BW306" s="143"/>
      <c r="BX306" s="143"/>
      <c r="BY306" s="143"/>
      <c r="BZ306" s="143"/>
      <c r="CA306" s="143"/>
      <c r="CB306" s="143"/>
      <c r="CC306" s="143"/>
      <c r="CD306" s="143"/>
    </row>
    <row r="307" spans="1:82" ht="16.5" customHeight="1" x14ac:dyDescent="0.15">
      <c r="A307" s="35"/>
      <c r="B307" s="35"/>
      <c r="C307" s="35"/>
      <c r="D307" s="35"/>
      <c r="E307" s="35"/>
      <c r="F307" s="35"/>
      <c r="G307" s="35"/>
      <c r="H307" s="34"/>
      <c r="I307" s="36"/>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137"/>
      <c r="BK307" s="143"/>
      <c r="BL307" s="143"/>
      <c r="BM307" s="143"/>
      <c r="BN307" s="143"/>
      <c r="BO307" s="143"/>
      <c r="BP307" s="143"/>
      <c r="BQ307" s="143"/>
      <c r="BR307" s="143"/>
      <c r="BS307" s="143"/>
      <c r="BT307" s="143"/>
      <c r="BU307" s="143"/>
      <c r="BV307" s="143"/>
      <c r="BW307" s="143"/>
      <c r="BX307" s="143"/>
      <c r="BY307" s="143"/>
      <c r="BZ307" s="143"/>
      <c r="CA307" s="143"/>
      <c r="CB307" s="143"/>
      <c r="CC307" s="143"/>
      <c r="CD307" s="143"/>
    </row>
    <row r="308" spans="1:82" ht="16.5" customHeight="1" x14ac:dyDescent="0.15">
      <c r="A308" s="35"/>
      <c r="B308" s="35"/>
      <c r="C308" s="35"/>
      <c r="D308" s="35"/>
      <c r="E308" s="35"/>
      <c r="F308" s="35"/>
      <c r="G308" s="35"/>
      <c r="H308" s="34"/>
      <c r="I308" s="36"/>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137"/>
      <c r="BK308" s="143"/>
      <c r="BL308" s="143"/>
      <c r="BM308" s="143"/>
      <c r="BN308" s="143"/>
      <c r="BO308" s="143"/>
      <c r="BP308" s="143"/>
      <c r="BQ308" s="143"/>
      <c r="BR308" s="143"/>
      <c r="BS308" s="143"/>
      <c r="BT308" s="143"/>
      <c r="BU308" s="143"/>
      <c r="BV308" s="143"/>
      <c r="BW308" s="143"/>
      <c r="BX308" s="143"/>
      <c r="BY308" s="143"/>
      <c r="BZ308" s="143"/>
      <c r="CA308" s="143"/>
      <c r="CB308" s="143"/>
      <c r="CC308" s="143"/>
      <c r="CD308" s="143"/>
    </row>
    <row r="309" spans="1:82" ht="16.5" customHeight="1" x14ac:dyDescent="0.15">
      <c r="A309" s="35"/>
      <c r="B309" s="35"/>
      <c r="C309" s="35"/>
      <c r="D309" s="35"/>
      <c r="E309" s="35"/>
      <c r="F309" s="35"/>
      <c r="G309" s="35"/>
      <c r="H309" s="34"/>
      <c r="I309" s="36"/>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137"/>
      <c r="BK309" s="143"/>
      <c r="BL309" s="143"/>
      <c r="BM309" s="143"/>
      <c r="BN309" s="143"/>
      <c r="BO309" s="143"/>
      <c r="BP309" s="143"/>
      <c r="BQ309" s="143"/>
      <c r="BR309" s="143"/>
      <c r="BS309" s="143"/>
      <c r="BT309" s="143"/>
      <c r="BU309" s="143"/>
      <c r="BV309" s="143"/>
      <c r="BW309" s="143"/>
      <c r="BX309" s="143"/>
      <c r="BY309" s="143"/>
      <c r="BZ309" s="143"/>
      <c r="CA309" s="143"/>
      <c r="CB309" s="143"/>
      <c r="CC309" s="143"/>
      <c r="CD309" s="143"/>
    </row>
    <row r="310" spans="1:82" ht="16.5" customHeight="1" x14ac:dyDescent="0.15">
      <c r="A310" s="35"/>
      <c r="B310" s="35"/>
      <c r="C310" s="35"/>
      <c r="D310" s="35"/>
      <c r="E310" s="35"/>
      <c r="F310" s="35"/>
      <c r="G310" s="35"/>
      <c r="H310" s="34"/>
      <c r="I310" s="36"/>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137"/>
      <c r="BK310" s="143"/>
      <c r="BL310" s="143"/>
      <c r="BM310" s="143"/>
      <c r="BN310" s="143"/>
      <c r="BO310" s="143"/>
      <c r="BP310" s="143"/>
      <c r="BQ310" s="143"/>
      <c r="BR310" s="143"/>
      <c r="BS310" s="143"/>
      <c r="BT310" s="143"/>
      <c r="BU310" s="143"/>
      <c r="BV310" s="143"/>
      <c r="BW310" s="143"/>
      <c r="BX310" s="143"/>
      <c r="BY310" s="143"/>
      <c r="BZ310" s="143"/>
      <c r="CA310" s="143"/>
      <c r="CB310" s="143"/>
      <c r="CC310" s="143"/>
      <c r="CD310" s="143"/>
    </row>
    <row r="311" spans="1:82" ht="16.5" customHeight="1" x14ac:dyDescent="0.15">
      <c r="A311" s="35"/>
      <c r="B311" s="35"/>
      <c r="C311" s="35"/>
      <c r="D311" s="35"/>
      <c r="E311" s="35"/>
      <c r="F311" s="35"/>
      <c r="G311" s="35"/>
      <c r="H311" s="34"/>
      <c r="I311" s="36"/>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137"/>
      <c r="BK311" s="143"/>
      <c r="BL311" s="143"/>
      <c r="BM311" s="143"/>
      <c r="BN311" s="143"/>
      <c r="BO311" s="143"/>
      <c r="BP311" s="143"/>
      <c r="BQ311" s="143"/>
      <c r="BR311" s="143"/>
      <c r="BS311" s="143"/>
      <c r="BT311" s="143"/>
      <c r="BU311" s="143"/>
      <c r="BV311" s="143"/>
      <c r="BW311" s="143"/>
      <c r="BX311" s="143"/>
      <c r="BY311" s="143"/>
      <c r="BZ311" s="143"/>
      <c r="CA311" s="143"/>
      <c r="CB311" s="143"/>
      <c r="CC311" s="143"/>
      <c r="CD311" s="143"/>
    </row>
    <row r="312" spans="1:82" ht="16.5" customHeight="1" x14ac:dyDescent="0.15">
      <c r="A312" s="35"/>
      <c r="B312" s="35"/>
      <c r="C312" s="35"/>
      <c r="D312" s="35"/>
      <c r="E312" s="35"/>
      <c r="F312" s="35"/>
      <c r="G312" s="35"/>
      <c r="H312" s="34"/>
      <c r="I312" s="36"/>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137"/>
      <c r="BK312" s="143"/>
      <c r="BL312" s="143"/>
      <c r="BM312" s="143"/>
      <c r="BN312" s="143"/>
      <c r="BO312" s="143"/>
      <c r="BP312" s="143"/>
      <c r="BQ312" s="143"/>
      <c r="BR312" s="143"/>
      <c r="BS312" s="143"/>
      <c r="BT312" s="143"/>
      <c r="BU312" s="143"/>
      <c r="BV312" s="143"/>
      <c r="BW312" s="143"/>
      <c r="BX312" s="143"/>
      <c r="BY312" s="143"/>
      <c r="BZ312" s="143"/>
      <c r="CA312" s="143"/>
      <c r="CB312" s="143"/>
      <c r="CC312" s="143"/>
      <c r="CD312" s="143"/>
    </row>
    <row r="313" spans="1:82" ht="16.5" customHeight="1" x14ac:dyDescent="0.15">
      <c r="A313" s="35"/>
      <c r="B313" s="35"/>
      <c r="C313" s="35"/>
      <c r="D313" s="35"/>
      <c r="E313" s="35"/>
      <c r="F313" s="35"/>
      <c r="G313" s="35"/>
      <c r="H313" s="34"/>
      <c r="I313" s="36"/>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137"/>
      <c r="BK313" s="143"/>
      <c r="BL313" s="143"/>
      <c r="BM313" s="143"/>
      <c r="BN313" s="143"/>
      <c r="BO313" s="143"/>
      <c r="BP313" s="143"/>
      <c r="BQ313" s="143"/>
      <c r="BR313" s="143"/>
      <c r="BS313" s="143"/>
      <c r="BT313" s="143"/>
      <c r="BU313" s="143"/>
      <c r="BV313" s="143"/>
      <c r="BW313" s="143"/>
      <c r="BX313" s="143"/>
      <c r="BY313" s="143"/>
      <c r="BZ313" s="143"/>
      <c r="CA313" s="143"/>
      <c r="CB313" s="143"/>
      <c r="CC313" s="143"/>
      <c r="CD313" s="143"/>
    </row>
    <row r="314" spans="1:82" ht="16.5" customHeight="1" x14ac:dyDescent="0.15">
      <c r="A314" s="35"/>
      <c r="B314" s="35"/>
      <c r="C314" s="35"/>
      <c r="D314" s="35"/>
      <c r="E314" s="35"/>
      <c r="F314" s="35"/>
      <c r="G314" s="35"/>
      <c r="H314" s="34"/>
      <c r="I314" s="36"/>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137"/>
      <c r="BK314" s="143"/>
      <c r="BL314" s="143"/>
      <c r="BM314" s="143"/>
      <c r="BN314" s="143"/>
      <c r="BO314" s="143"/>
      <c r="BP314" s="143"/>
      <c r="BQ314" s="143"/>
      <c r="BR314" s="143"/>
      <c r="BS314" s="143"/>
      <c r="BT314" s="143"/>
      <c r="BU314" s="143"/>
      <c r="BV314" s="143"/>
      <c r="BW314" s="143"/>
      <c r="BX314" s="143"/>
      <c r="BY314" s="143"/>
      <c r="BZ314" s="143"/>
      <c r="CA314" s="143"/>
      <c r="CB314" s="143"/>
      <c r="CC314" s="143"/>
      <c r="CD314" s="143"/>
    </row>
    <row r="315" spans="1:82" ht="16.5" customHeight="1" x14ac:dyDescent="0.15">
      <c r="A315" s="35"/>
      <c r="B315" s="35"/>
      <c r="C315" s="35"/>
      <c r="D315" s="35"/>
      <c r="E315" s="35"/>
      <c r="F315" s="35"/>
      <c r="G315" s="35"/>
      <c r="H315" s="34"/>
      <c r="I315" s="36"/>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137"/>
      <c r="BK315" s="143"/>
      <c r="BL315" s="143"/>
      <c r="BM315" s="143"/>
      <c r="BN315" s="143"/>
      <c r="BO315" s="143"/>
      <c r="BP315" s="143"/>
      <c r="BQ315" s="143"/>
      <c r="BR315" s="143"/>
      <c r="BS315" s="143"/>
      <c r="BT315" s="143"/>
      <c r="BU315" s="143"/>
      <c r="BV315" s="143"/>
      <c r="BW315" s="143"/>
      <c r="BX315" s="143"/>
      <c r="BY315" s="143"/>
      <c r="BZ315" s="143"/>
      <c r="CA315" s="143"/>
      <c r="CB315" s="143"/>
      <c r="CC315" s="143"/>
      <c r="CD315" s="143"/>
    </row>
    <row r="316" spans="1:82" ht="16.5" customHeight="1" x14ac:dyDescent="0.15">
      <c r="A316" s="35"/>
      <c r="B316" s="35"/>
      <c r="C316" s="35"/>
      <c r="D316" s="35"/>
      <c r="E316" s="35"/>
      <c r="F316" s="35"/>
      <c r="G316" s="35"/>
      <c r="H316" s="34"/>
      <c r="I316" s="36"/>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137"/>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row>
    <row r="317" spans="1:82" ht="16.5" customHeight="1" x14ac:dyDescent="0.15">
      <c r="A317" s="35"/>
      <c r="B317" s="35"/>
      <c r="C317" s="35"/>
      <c r="D317" s="35"/>
      <c r="E317" s="35"/>
      <c r="F317" s="35"/>
      <c r="G317" s="35"/>
      <c r="H317" s="34"/>
      <c r="I317" s="36"/>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137"/>
      <c r="BK317" s="143"/>
      <c r="BL317" s="143"/>
      <c r="BM317" s="143"/>
      <c r="BN317" s="143"/>
      <c r="BO317" s="143"/>
      <c r="BP317" s="143"/>
      <c r="BQ317" s="143"/>
      <c r="BR317" s="143"/>
      <c r="BS317" s="143"/>
      <c r="BT317" s="143"/>
      <c r="BU317" s="143"/>
      <c r="BV317" s="143"/>
      <c r="BW317" s="143"/>
      <c r="BX317" s="143"/>
      <c r="BY317" s="143"/>
      <c r="BZ317" s="143"/>
      <c r="CA317" s="143"/>
      <c r="CB317" s="143"/>
      <c r="CC317" s="143"/>
      <c r="CD317" s="143"/>
    </row>
    <row r="318" spans="1:82" ht="16.5" customHeight="1" x14ac:dyDescent="0.15">
      <c r="A318" s="35"/>
      <c r="B318" s="35"/>
      <c r="C318" s="35"/>
      <c r="D318" s="35"/>
      <c r="E318" s="35"/>
      <c r="F318" s="35"/>
      <c r="G318" s="35"/>
      <c r="H318" s="34"/>
      <c r="I318" s="36"/>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137"/>
      <c r="BK318" s="143"/>
      <c r="BL318" s="143"/>
      <c r="BM318" s="143"/>
      <c r="BN318" s="143"/>
      <c r="BO318" s="143"/>
      <c r="BP318" s="143"/>
      <c r="BQ318" s="143"/>
      <c r="BR318" s="143"/>
      <c r="BS318" s="143"/>
      <c r="BT318" s="143"/>
      <c r="BU318" s="143"/>
      <c r="BV318" s="143"/>
      <c r="BW318" s="143"/>
      <c r="BX318" s="143"/>
      <c r="BY318" s="143"/>
      <c r="BZ318" s="143"/>
      <c r="CA318" s="143"/>
      <c r="CB318" s="143"/>
      <c r="CC318" s="143"/>
      <c r="CD318" s="143"/>
    </row>
    <row r="319" spans="1:82" ht="16.5" customHeight="1" x14ac:dyDescent="0.15">
      <c r="A319" s="35"/>
      <c r="B319" s="35"/>
      <c r="C319" s="35"/>
      <c r="D319" s="35"/>
      <c r="E319" s="35"/>
      <c r="F319" s="35"/>
      <c r="G319" s="35"/>
      <c r="H319" s="34"/>
      <c r="I319" s="36"/>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137"/>
      <c r="BK319" s="143"/>
      <c r="BL319" s="143"/>
      <c r="BM319" s="143"/>
      <c r="BN319" s="143"/>
      <c r="BO319" s="143"/>
      <c r="BP319" s="143"/>
      <c r="BQ319" s="143"/>
      <c r="BR319" s="143"/>
      <c r="BS319" s="143"/>
      <c r="BT319" s="143"/>
      <c r="BU319" s="143"/>
      <c r="BV319" s="143"/>
      <c r="BW319" s="143"/>
      <c r="BX319" s="143"/>
      <c r="BY319" s="143"/>
      <c r="BZ319" s="143"/>
      <c r="CA319" s="143"/>
      <c r="CB319" s="143"/>
      <c r="CC319" s="143"/>
      <c r="CD319" s="143"/>
    </row>
    <row r="320" spans="1:82" ht="16.5" customHeight="1" x14ac:dyDescent="0.15">
      <c r="A320" s="35"/>
      <c r="B320" s="35"/>
      <c r="C320" s="35"/>
      <c r="D320" s="35"/>
      <c r="E320" s="35"/>
      <c r="F320" s="35"/>
      <c r="G320" s="35"/>
      <c r="H320" s="34"/>
      <c r="I320" s="36"/>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137"/>
      <c r="BK320" s="143"/>
      <c r="BL320" s="143"/>
      <c r="BM320" s="143"/>
      <c r="BN320" s="143"/>
      <c r="BO320" s="143"/>
      <c r="BP320" s="143"/>
      <c r="BQ320" s="143"/>
      <c r="BR320" s="143"/>
      <c r="BS320" s="143"/>
      <c r="BT320" s="143"/>
      <c r="BU320" s="143"/>
      <c r="BV320" s="143"/>
      <c r="BW320" s="143"/>
      <c r="BX320" s="143"/>
      <c r="BY320" s="143"/>
      <c r="BZ320" s="143"/>
      <c r="CA320" s="143"/>
      <c r="CB320" s="143"/>
      <c r="CC320" s="143"/>
      <c r="CD320" s="143"/>
    </row>
    <row r="321" spans="1:82" ht="16.5" customHeight="1" x14ac:dyDescent="0.15">
      <c r="A321" s="35"/>
      <c r="B321" s="35"/>
      <c r="C321" s="35"/>
      <c r="D321" s="35"/>
      <c r="E321" s="35"/>
      <c r="F321" s="35"/>
      <c r="G321" s="35"/>
      <c r="H321" s="34"/>
      <c r="I321" s="36"/>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137"/>
      <c r="BK321" s="143"/>
      <c r="BL321" s="143"/>
      <c r="BM321" s="143"/>
      <c r="BN321" s="143"/>
      <c r="BO321" s="143"/>
      <c r="BP321" s="143"/>
      <c r="BQ321" s="143"/>
      <c r="BR321" s="143"/>
      <c r="BS321" s="143"/>
      <c r="BT321" s="143"/>
      <c r="BU321" s="143"/>
      <c r="BV321" s="143"/>
      <c r="BW321" s="143"/>
      <c r="BX321" s="143"/>
      <c r="BY321" s="143"/>
      <c r="BZ321" s="143"/>
      <c r="CA321" s="143"/>
      <c r="CB321" s="143"/>
      <c r="CC321" s="143"/>
      <c r="CD321" s="143"/>
    </row>
    <row r="322" spans="1:82" ht="16.5" customHeight="1" x14ac:dyDescent="0.15">
      <c r="A322" s="35"/>
      <c r="B322" s="35"/>
      <c r="C322" s="35"/>
      <c r="D322" s="35"/>
      <c r="E322" s="35"/>
      <c r="F322" s="35"/>
      <c r="G322" s="35"/>
      <c r="H322" s="34"/>
      <c r="I322" s="36"/>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137"/>
      <c r="BK322" s="143"/>
      <c r="BL322" s="143"/>
      <c r="BM322" s="143"/>
      <c r="BN322" s="143"/>
      <c r="BO322" s="143"/>
      <c r="BP322" s="143"/>
      <c r="BQ322" s="143"/>
      <c r="BR322" s="143"/>
      <c r="BS322" s="143"/>
      <c r="BT322" s="143"/>
      <c r="BU322" s="143"/>
      <c r="BV322" s="143"/>
      <c r="BW322" s="143"/>
      <c r="BX322" s="143"/>
      <c r="BY322" s="143"/>
      <c r="BZ322" s="143"/>
      <c r="CA322" s="143"/>
      <c r="CB322" s="143"/>
      <c r="CC322" s="143"/>
      <c r="CD322" s="143"/>
    </row>
    <row r="323" spans="1:82" ht="16.5" customHeight="1" x14ac:dyDescent="0.15">
      <c r="A323" s="35"/>
      <c r="B323" s="35"/>
      <c r="C323" s="35"/>
      <c r="D323" s="35"/>
      <c r="E323" s="35"/>
      <c r="F323" s="35"/>
      <c r="G323" s="35"/>
      <c r="H323" s="34"/>
      <c r="I323" s="36"/>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137"/>
      <c r="BK323" s="143"/>
      <c r="BL323" s="143"/>
      <c r="BM323" s="143"/>
      <c r="BN323" s="143"/>
      <c r="BO323" s="143"/>
      <c r="BP323" s="143"/>
      <c r="BQ323" s="143"/>
      <c r="BR323" s="143"/>
      <c r="BS323" s="143"/>
      <c r="BT323" s="143"/>
      <c r="BU323" s="143"/>
      <c r="BV323" s="143"/>
      <c r="BW323" s="143"/>
      <c r="BX323" s="143"/>
      <c r="BY323" s="143"/>
      <c r="BZ323" s="143"/>
      <c r="CA323" s="143"/>
      <c r="CB323" s="143"/>
      <c r="CC323" s="143"/>
      <c r="CD323" s="143"/>
    </row>
    <row r="324" spans="1:82" ht="16.5" customHeight="1" x14ac:dyDescent="0.15">
      <c r="A324" s="35"/>
      <c r="B324" s="35"/>
      <c r="C324" s="35"/>
      <c r="D324" s="35"/>
      <c r="E324" s="35"/>
      <c r="F324" s="35"/>
      <c r="G324" s="35"/>
      <c r="H324" s="34"/>
      <c r="I324" s="36"/>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137"/>
      <c r="BK324" s="143"/>
      <c r="BL324" s="143"/>
      <c r="BM324" s="143"/>
      <c r="BN324" s="143"/>
      <c r="BO324" s="143"/>
      <c r="BP324" s="143"/>
      <c r="BQ324" s="143"/>
      <c r="BR324" s="143"/>
      <c r="BS324" s="143"/>
      <c r="BT324" s="143"/>
      <c r="BU324" s="143"/>
      <c r="BV324" s="143"/>
      <c r="BW324" s="143"/>
      <c r="BX324" s="143"/>
      <c r="BY324" s="143"/>
      <c r="BZ324" s="143"/>
      <c r="CA324" s="143"/>
      <c r="CB324" s="143"/>
      <c r="CC324" s="143"/>
      <c r="CD324" s="143"/>
    </row>
    <row r="325" spans="1:82" ht="16.5" customHeight="1" x14ac:dyDescent="0.15">
      <c r="A325" s="35"/>
      <c r="B325" s="35"/>
      <c r="C325" s="35"/>
      <c r="D325" s="35"/>
      <c r="E325" s="35"/>
      <c r="F325" s="35"/>
      <c r="G325" s="35"/>
      <c r="H325" s="34"/>
      <c r="I325" s="36"/>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137"/>
      <c r="BK325" s="143"/>
      <c r="BL325" s="143"/>
      <c r="BM325" s="143"/>
      <c r="BN325" s="143"/>
      <c r="BO325" s="143"/>
      <c r="BP325" s="143"/>
      <c r="BQ325" s="143"/>
      <c r="BR325" s="143"/>
      <c r="BS325" s="143"/>
      <c r="BT325" s="143"/>
      <c r="BU325" s="143"/>
      <c r="BV325" s="143"/>
      <c r="BW325" s="143"/>
      <c r="BX325" s="143"/>
      <c r="BY325" s="143"/>
      <c r="BZ325" s="143"/>
      <c r="CA325" s="143"/>
      <c r="CB325" s="143"/>
      <c r="CC325" s="143"/>
      <c r="CD325" s="143"/>
    </row>
    <row r="326" spans="1:82" ht="16.5" customHeight="1" x14ac:dyDescent="0.15">
      <c r="A326" s="35"/>
      <c r="B326" s="35"/>
      <c r="C326" s="35"/>
      <c r="D326" s="35"/>
      <c r="E326" s="35"/>
      <c r="F326" s="35"/>
      <c r="G326" s="35"/>
      <c r="H326" s="34"/>
      <c r="I326" s="36"/>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137"/>
      <c r="BK326" s="143"/>
      <c r="BL326" s="143"/>
      <c r="BM326" s="143"/>
      <c r="BN326" s="143"/>
      <c r="BO326" s="143"/>
      <c r="BP326" s="143"/>
      <c r="BQ326" s="143"/>
      <c r="BR326" s="143"/>
      <c r="BS326" s="143"/>
      <c r="BT326" s="143"/>
      <c r="BU326" s="143"/>
      <c r="BV326" s="143"/>
      <c r="BW326" s="143"/>
      <c r="BX326" s="143"/>
      <c r="BY326" s="143"/>
      <c r="BZ326" s="143"/>
      <c r="CA326" s="143"/>
      <c r="CB326" s="143"/>
      <c r="CC326" s="143"/>
      <c r="CD326" s="143"/>
    </row>
    <row r="327" spans="1:82" ht="16.5" customHeight="1" x14ac:dyDescent="0.15">
      <c r="A327" s="35"/>
      <c r="B327" s="35"/>
      <c r="C327" s="35"/>
      <c r="D327" s="35"/>
      <c r="E327" s="35"/>
      <c r="F327" s="35"/>
      <c r="G327" s="35"/>
      <c r="H327" s="34"/>
      <c r="I327" s="36"/>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137"/>
      <c r="BK327" s="143"/>
      <c r="BL327" s="143"/>
      <c r="BM327" s="143"/>
      <c r="BN327" s="143"/>
      <c r="BO327" s="143"/>
      <c r="BP327" s="143"/>
      <c r="BQ327" s="143"/>
      <c r="BR327" s="143"/>
      <c r="BS327" s="143"/>
      <c r="BT327" s="143"/>
      <c r="BU327" s="143"/>
      <c r="BV327" s="143"/>
      <c r="BW327" s="143"/>
      <c r="BX327" s="143"/>
      <c r="BY327" s="143"/>
      <c r="BZ327" s="143"/>
      <c r="CA327" s="143"/>
      <c r="CB327" s="143"/>
      <c r="CC327" s="143"/>
      <c r="CD327" s="143"/>
    </row>
    <row r="328" spans="1:82" ht="16.5" customHeight="1" x14ac:dyDescent="0.15">
      <c r="A328" s="35"/>
      <c r="B328" s="35"/>
      <c r="C328" s="35"/>
      <c r="D328" s="35"/>
      <c r="E328" s="35"/>
      <c r="F328" s="35"/>
      <c r="G328" s="35"/>
      <c r="H328" s="34"/>
      <c r="I328" s="36"/>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137"/>
      <c r="BK328" s="143"/>
      <c r="BL328" s="143"/>
      <c r="BM328" s="143"/>
      <c r="BN328" s="143"/>
      <c r="BO328" s="143"/>
      <c r="BP328" s="143"/>
      <c r="BQ328" s="143"/>
      <c r="BR328" s="143"/>
      <c r="BS328" s="143"/>
      <c r="BT328" s="143"/>
      <c r="BU328" s="143"/>
      <c r="BV328" s="143"/>
      <c r="BW328" s="143"/>
      <c r="BX328" s="143"/>
      <c r="BY328" s="143"/>
      <c r="BZ328" s="143"/>
      <c r="CA328" s="143"/>
      <c r="CB328" s="143"/>
      <c r="CC328" s="143"/>
      <c r="CD328" s="143"/>
    </row>
    <row r="329" spans="1:82" ht="16.5" customHeight="1" x14ac:dyDescent="0.15">
      <c r="A329" s="35"/>
      <c r="B329" s="35"/>
      <c r="C329" s="35"/>
      <c r="D329" s="35"/>
      <c r="E329" s="35"/>
      <c r="F329" s="35"/>
      <c r="G329" s="35"/>
      <c r="H329" s="34"/>
      <c r="I329" s="36"/>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137"/>
      <c r="BK329" s="143"/>
      <c r="BL329" s="143"/>
      <c r="BM329" s="143"/>
      <c r="BN329" s="143"/>
      <c r="BO329" s="143"/>
      <c r="BP329" s="143"/>
      <c r="BQ329" s="143"/>
      <c r="BR329" s="143"/>
      <c r="BS329" s="143"/>
      <c r="BT329" s="143"/>
      <c r="BU329" s="143"/>
      <c r="BV329" s="143"/>
      <c r="BW329" s="143"/>
      <c r="BX329" s="143"/>
      <c r="BY329" s="143"/>
      <c r="BZ329" s="143"/>
      <c r="CA329" s="143"/>
      <c r="CB329" s="143"/>
      <c r="CC329" s="143"/>
      <c r="CD329" s="143"/>
    </row>
    <row r="330" spans="1:82" ht="16.5" customHeight="1" x14ac:dyDescent="0.15">
      <c r="A330" s="35"/>
      <c r="B330" s="35"/>
      <c r="C330" s="35"/>
      <c r="D330" s="35"/>
      <c r="E330" s="35"/>
      <c r="F330" s="35"/>
      <c r="G330" s="35"/>
      <c r="H330" s="34"/>
      <c r="I330" s="36"/>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137"/>
      <c r="BK330" s="143"/>
      <c r="BL330" s="143"/>
      <c r="BM330" s="143"/>
      <c r="BN330" s="143"/>
      <c r="BO330" s="143"/>
      <c r="BP330" s="143"/>
      <c r="BQ330" s="143"/>
      <c r="BR330" s="143"/>
      <c r="BS330" s="143"/>
      <c r="BT330" s="143"/>
      <c r="BU330" s="143"/>
      <c r="BV330" s="143"/>
      <c r="BW330" s="143"/>
      <c r="BX330" s="143"/>
      <c r="BY330" s="143"/>
      <c r="BZ330" s="143"/>
      <c r="CA330" s="143"/>
      <c r="CB330" s="143"/>
      <c r="CC330" s="143"/>
      <c r="CD330" s="143"/>
    </row>
    <row r="331" spans="1:82" ht="16.5" customHeight="1" x14ac:dyDescent="0.15">
      <c r="A331" s="35"/>
      <c r="B331" s="35"/>
      <c r="C331" s="35"/>
      <c r="D331" s="35"/>
      <c r="E331" s="35"/>
      <c r="F331" s="35"/>
      <c r="G331" s="35"/>
      <c r="H331" s="34"/>
      <c r="I331" s="36"/>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137"/>
      <c r="BK331" s="143"/>
      <c r="BL331" s="143"/>
      <c r="BM331" s="143"/>
      <c r="BN331" s="143"/>
      <c r="BO331" s="143"/>
      <c r="BP331" s="143"/>
      <c r="BQ331" s="143"/>
      <c r="BR331" s="143"/>
      <c r="BS331" s="143"/>
      <c r="BT331" s="143"/>
      <c r="BU331" s="143"/>
      <c r="BV331" s="143"/>
      <c r="BW331" s="143"/>
      <c r="BX331" s="143"/>
      <c r="BY331" s="143"/>
      <c r="BZ331" s="143"/>
      <c r="CA331" s="143"/>
      <c r="CB331" s="143"/>
      <c r="CC331" s="143"/>
      <c r="CD331" s="143"/>
    </row>
    <row r="332" spans="1:82" ht="16.5" customHeight="1" x14ac:dyDescent="0.15">
      <c r="A332" s="35"/>
      <c r="B332" s="35"/>
      <c r="C332" s="35"/>
      <c r="D332" s="35"/>
      <c r="E332" s="35"/>
      <c r="F332" s="35"/>
      <c r="G332" s="35"/>
      <c r="H332" s="34"/>
      <c r="I332" s="36"/>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137"/>
      <c r="BK332" s="143"/>
      <c r="BL332" s="143"/>
      <c r="BM332" s="143"/>
      <c r="BN332" s="143"/>
      <c r="BO332" s="143"/>
      <c r="BP332" s="143"/>
      <c r="BQ332" s="143"/>
      <c r="BR332" s="143"/>
      <c r="BS332" s="143"/>
      <c r="BT332" s="143"/>
      <c r="BU332" s="143"/>
      <c r="BV332" s="143"/>
      <c r="BW332" s="143"/>
      <c r="BX332" s="143"/>
      <c r="BY332" s="143"/>
      <c r="BZ332" s="143"/>
      <c r="CA332" s="143"/>
      <c r="CB332" s="143"/>
      <c r="CC332" s="143"/>
      <c r="CD332" s="143"/>
    </row>
    <row r="333" spans="1:82" ht="16.5" customHeight="1" x14ac:dyDescent="0.15">
      <c r="A333" s="35"/>
      <c r="B333" s="35"/>
      <c r="C333" s="35"/>
      <c r="D333" s="35"/>
      <c r="E333" s="35"/>
      <c r="F333" s="35"/>
      <c r="G333" s="35"/>
      <c r="H333" s="34"/>
      <c r="I333" s="36"/>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137"/>
      <c r="BK333" s="143"/>
      <c r="BL333" s="143"/>
      <c r="BM333" s="143"/>
      <c r="BN333" s="143"/>
      <c r="BO333" s="143"/>
      <c r="BP333" s="143"/>
      <c r="BQ333" s="143"/>
      <c r="BR333" s="143"/>
      <c r="BS333" s="143"/>
      <c r="BT333" s="143"/>
      <c r="BU333" s="143"/>
      <c r="BV333" s="143"/>
      <c r="BW333" s="143"/>
      <c r="BX333" s="143"/>
      <c r="BY333" s="143"/>
      <c r="BZ333" s="143"/>
      <c r="CA333" s="143"/>
      <c r="CB333" s="143"/>
      <c r="CC333" s="143"/>
      <c r="CD333" s="143"/>
    </row>
    <row r="334" spans="1:82" ht="16.5" customHeight="1" x14ac:dyDescent="0.15">
      <c r="A334" s="35"/>
      <c r="B334" s="35"/>
      <c r="C334" s="35"/>
      <c r="D334" s="35"/>
      <c r="E334" s="35"/>
      <c r="F334" s="35"/>
      <c r="G334" s="35"/>
      <c r="H334" s="34"/>
      <c r="I334" s="36"/>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137"/>
      <c r="BK334" s="143"/>
      <c r="BL334" s="143"/>
      <c r="BM334" s="143"/>
      <c r="BN334" s="143"/>
      <c r="BO334" s="143"/>
      <c r="BP334" s="143"/>
      <c r="BQ334" s="143"/>
      <c r="BR334" s="143"/>
      <c r="BS334" s="143"/>
      <c r="BT334" s="143"/>
      <c r="BU334" s="143"/>
      <c r="BV334" s="143"/>
      <c r="BW334" s="143"/>
      <c r="BX334" s="143"/>
      <c r="BY334" s="143"/>
      <c r="BZ334" s="143"/>
      <c r="CA334" s="143"/>
      <c r="CB334" s="143"/>
      <c r="CC334" s="143"/>
      <c r="CD334" s="143"/>
    </row>
    <row r="335" spans="1:82" ht="16.5" customHeight="1" x14ac:dyDescent="0.15">
      <c r="A335" s="35"/>
      <c r="B335" s="35"/>
      <c r="C335" s="35"/>
      <c r="D335" s="35"/>
      <c r="E335" s="35"/>
      <c r="F335" s="35"/>
      <c r="G335" s="35"/>
      <c r="H335" s="34"/>
      <c r="I335" s="36"/>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137"/>
      <c r="BK335" s="143"/>
      <c r="BL335" s="143"/>
      <c r="BM335" s="143"/>
      <c r="BN335" s="143"/>
      <c r="BO335" s="143"/>
      <c r="BP335" s="143"/>
      <c r="BQ335" s="143"/>
      <c r="BR335" s="143"/>
      <c r="BS335" s="143"/>
      <c r="BT335" s="143"/>
      <c r="BU335" s="143"/>
      <c r="BV335" s="143"/>
      <c r="BW335" s="143"/>
      <c r="BX335" s="143"/>
      <c r="BY335" s="143"/>
      <c r="BZ335" s="143"/>
      <c r="CA335" s="143"/>
      <c r="CB335" s="143"/>
      <c r="CC335" s="143"/>
      <c r="CD335" s="143"/>
    </row>
    <row r="336" spans="1:82" ht="16.5" customHeight="1" x14ac:dyDescent="0.15">
      <c r="A336" s="35"/>
      <c r="B336" s="35"/>
      <c r="C336" s="35"/>
      <c r="D336" s="35"/>
      <c r="E336" s="35"/>
      <c r="F336" s="35"/>
      <c r="G336" s="35"/>
      <c r="H336" s="34"/>
      <c r="I336" s="36"/>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137"/>
      <c r="BK336" s="143"/>
      <c r="BL336" s="143"/>
      <c r="BM336" s="143"/>
      <c r="BN336" s="143"/>
      <c r="BO336" s="143"/>
      <c r="BP336" s="143"/>
      <c r="BQ336" s="143"/>
      <c r="BR336" s="143"/>
      <c r="BS336" s="143"/>
      <c r="BT336" s="143"/>
      <c r="BU336" s="143"/>
      <c r="BV336" s="143"/>
      <c r="BW336" s="143"/>
      <c r="BX336" s="143"/>
      <c r="BY336" s="143"/>
      <c r="BZ336" s="143"/>
      <c r="CA336" s="143"/>
      <c r="CB336" s="143"/>
      <c r="CC336" s="143"/>
      <c r="CD336" s="143"/>
    </row>
    <row r="337" spans="1:82" ht="16.5" customHeight="1" x14ac:dyDescent="0.15">
      <c r="A337" s="35"/>
      <c r="B337" s="35"/>
      <c r="C337" s="35"/>
      <c r="D337" s="35"/>
      <c r="E337" s="35"/>
      <c r="F337" s="35"/>
      <c r="G337" s="35"/>
      <c r="H337" s="34"/>
      <c r="I337" s="36"/>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137"/>
      <c r="BK337" s="143"/>
      <c r="BL337" s="143"/>
      <c r="BM337" s="143"/>
      <c r="BN337" s="143"/>
      <c r="BO337" s="143"/>
      <c r="BP337" s="143"/>
      <c r="BQ337" s="143"/>
      <c r="BR337" s="143"/>
      <c r="BS337" s="143"/>
      <c r="BT337" s="143"/>
      <c r="BU337" s="143"/>
      <c r="BV337" s="143"/>
      <c r="BW337" s="143"/>
      <c r="BX337" s="143"/>
      <c r="BY337" s="143"/>
      <c r="BZ337" s="143"/>
      <c r="CA337" s="143"/>
      <c r="CB337" s="143"/>
      <c r="CC337" s="143"/>
      <c r="CD337" s="143"/>
    </row>
    <row r="338" spans="1:82" ht="16.5" customHeight="1" x14ac:dyDescent="0.15">
      <c r="A338" s="35"/>
      <c r="B338" s="35"/>
      <c r="C338" s="35"/>
      <c r="D338" s="35"/>
      <c r="E338" s="35"/>
      <c r="F338" s="35"/>
      <c r="G338" s="35"/>
      <c r="H338" s="34"/>
      <c r="I338" s="36"/>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137"/>
      <c r="BK338" s="143"/>
      <c r="BL338" s="143"/>
      <c r="BM338" s="143"/>
      <c r="BN338" s="143"/>
      <c r="BO338" s="143"/>
      <c r="BP338" s="143"/>
      <c r="BQ338" s="143"/>
      <c r="BR338" s="143"/>
      <c r="BS338" s="143"/>
      <c r="BT338" s="143"/>
      <c r="BU338" s="143"/>
      <c r="BV338" s="143"/>
      <c r="BW338" s="143"/>
      <c r="BX338" s="143"/>
      <c r="BY338" s="143"/>
      <c r="BZ338" s="143"/>
      <c r="CA338" s="143"/>
      <c r="CB338" s="143"/>
      <c r="CC338" s="143"/>
      <c r="CD338" s="143"/>
    </row>
    <row r="339" spans="1:82" ht="16.5" customHeight="1" x14ac:dyDescent="0.15">
      <c r="A339" s="35"/>
      <c r="B339" s="35"/>
      <c r="C339" s="35"/>
      <c r="D339" s="35"/>
      <c r="E339" s="35"/>
      <c r="F339" s="35"/>
      <c r="G339" s="35"/>
      <c r="H339" s="34"/>
      <c r="I339" s="36"/>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137"/>
      <c r="BK339" s="143"/>
      <c r="BL339" s="143"/>
      <c r="BM339" s="143"/>
      <c r="BN339" s="143"/>
      <c r="BO339" s="143"/>
      <c r="BP339" s="143"/>
      <c r="BQ339" s="143"/>
      <c r="BR339" s="143"/>
      <c r="BS339" s="143"/>
      <c r="BT339" s="143"/>
      <c r="BU339" s="143"/>
      <c r="BV339" s="143"/>
      <c r="BW339" s="143"/>
      <c r="BX339" s="143"/>
      <c r="BY339" s="143"/>
      <c r="BZ339" s="143"/>
      <c r="CA339" s="143"/>
      <c r="CB339" s="143"/>
      <c r="CC339" s="143"/>
      <c r="CD339" s="143"/>
    </row>
    <row r="340" spans="1:82" ht="16.5" customHeight="1" x14ac:dyDescent="0.15">
      <c r="A340" s="35"/>
      <c r="B340" s="35"/>
      <c r="C340" s="35"/>
      <c r="D340" s="35"/>
      <c r="E340" s="35"/>
      <c r="F340" s="35"/>
      <c r="G340" s="35"/>
      <c r="H340" s="34"/>
      <c r="I340" s="36"/>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137"/>
      <c r="BK340" s="143"/>
      <c r="BL340" s="143"/>
      <c r="BM340" s="143"/>
      <c r="BN340" s="143"/>
      <c r="BO340" s="143"/>
      <c r="BP340" s="143"/>
      <c r="BQ340" s="143"/>
      <c r="BR340" s="143"/>
      <c r="BS340" s="143"/>
      <c r="BT340" s="143"/>
      <c r="BU340" s="143"/>
      <c r="BV340" s="143"/>
      <c r="BW340" s="143"/>
      <c r="BX340" s="143"/>
      <c r="BY340" s="143"/>
      <c r="BZ340" s="143"/>
      <c r="CA340" s="143"/>
      <c r="CB340" s="143"/>
      <c r="CC340" s="143"/>
      <c r="CD340" s="143"/>
    </row>
    <row r="341" spans="1:82" ht="16.5" customHeight="1" x14ac:dyDescent="0.15">
      <c r="A341" s="35"/>
      <c r="B341" s="35"/>
      <c r="C341" s="35"/>
      <c r="D341" s="35"/>
      <c r="E341" s="35"/>
      <c r="F341" s="35"/>
      <c r="G341" s="35"/>
      <c r="H341" s="34"/>
      <c r="I341" s="36"/>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137"/>
      <c r="BK341" s="143"/>
      <c r="BL341" s="143"/>
      <c r="BM341" s="143"/>
      <c r="BN341" s="143"/>
      <c r="BO341" s="143"/>
      <c r="BP341" s="143"/>
      <c r="BQ341" s="143"/>
      <c r="BR341" s="143"/>
      <c r="BS341" s="143"/>
      <c r="BT341" s="143"/>
      <c r="BU341" s="143"/>
      <c r="BV341" s="143"/>
      <c r="BW341" s="143"/>
      <c r="BX341" s="143"/>
      <c r="BY341" s="143"/>
      <c r="BZ341" s="143"/>
      <c r="CA341" s="143"/>
      <c r="CB341" s="143"/>
      <c r="CC341" s="143"/>
      <c r="CD341" s="143"/>
    </row>
    <row r="342" spans="1:82" ht="16.5" customHeight="1" x14ac:dyDescent="0.15">
      <c r="A342" s="35"/>
      <c r="B342" s="35"/>
      <c r="C342" s="35"/>
      <c r="D342" s="35"/>
      <c r="E342" s="35"/>
      <c r="F342" s="35"/>
      <c r="G342" s="35"/>
      <c r="H342" s="34"/>
      <c r="I342" s="36"/>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137"/>
      <c r="BK342" s="143"/>
      <c r="BL342" s="143"/>
      <c r="BM342" s="143"/>
      <c r="BN342" s="143"/>
      <c r="BO342" s="143"/>
      <c r="BP342" s="143"/>
      <c r="BQ342" s="143"/>
      <c r="BR342" s="143"/>
      <c r="BS342" s="143"/>
      <c r="BT342" s="143"/>
      <c r="BU342" s="143"/>
      <c r="BV342" s="143"/>
      <c r="BW342" s="143"/>
      <c r="BX342" s="143"/>
      <c r="BY342" s="143"/>
      <c r="BZ342" s="143"/>
      <c r="CA342" s="143"/>
      <c r="CB342" s="143"/>
      <c r="CC342" s="143"/>
      <c r="CD342" s="143"/>
    </row>
    <row r="343" spans="1:82" ht="16.5" customHeight="1" x14ac:dyDescent="0.15">
      <c r="A343" s="35"/>
      <c r="B343" s="35"/>
      <c r="C343" s="35"/>
      <c r="D343" s="35"/>
      <c r="E343" s="35"/>
      <c r="F343" s="35"/>
      <c r="G343" s="35"/>
      <c r="H343" s="34"/>
      <c r="I343" s="36"/>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137"/>
      <c r="BK343" s="143"/>
      <c r="BL343" s="143"/>
      <c r="BM343" s="143"/>
      <c r="BN343" s="143"/>
      <c r="BO343" s="143"/>
      <c r="BP343" s="143"/>
      <c r="BQ343" s="143"/>
      <c r="BR343" s="143"/>
      <c r="BS343" s="143"/>
      <c r="BT343" s="143"/>
      <c r="BU343" s="143"/>
      <c r="BV343" s="143"/>
      <c r="BW343" s="143"/>
      <c r="BX343" s="143"/>
      <c r="BY343" s="143"/>
      <c r="BZ343" s="143"/>
      <c r="CA343" s="143"/>
      <c r="CB343" s="143"/>
      <c r="CC343" s="143"/>
      <c r="CD343" s="143"/>
    </row>
    <row r="344" spans="1:82" ht="16.5" customHeight="1" x14ac:dyDescent="0.15">
      <c r="A344" s="35"/>
      <c r="B344" s="35"/>
      <c r="C344" s="35"/>
      <c r="D344" s="35"/>
      <c r="E344" s="35"/>
      <c r="F344" s="35"/>
      <c r="G344" s="35"/>
      <c r="H344" s="34"/>
      <c r="I344" s="36"/>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137"/>
      <c r="BK344" s="143"/>
      <c r="BL344" s="143"/>
      <c r="BM344" s="143"/>
      <c r="BN344" s="143"/>
      <c r="BO344" s="143"/>
      <c r="BP344" s="143"/>
      <c r="BQ344" s="143"/>
      <c r="BR344" s="143"/>
      <c r="BS344" s="143"/>
      <c r="BT344" s="143"/>
      <c r="BU344" s="143"/>
      <c r="BV344" s="143"/>
      <c r="BW344" s="143"/>
      <c r="BX344" s="143"/>
      <c r="BY344" s="143"/>
      <c r="BZ344" s="143"/>
      <c r="CA344" s="143"/>
      <c r="CB344" s="143"/>
      <c r="CC344" s="143"/>
      <c r="CD344" s="143"/>
    </row>
    <row r="345" spans="1:82" ht="16.5" customHeight="1" x14ac:dyDescent="0.15">
      <c r="A345" s="35"/>
      <c r="B345" s="35"/>
      <c r="C345" s="35"/>
      <c r="D345" s="35"/>
      <c r="E345" s="35"/>
      <c r="F345" s="35"/>
      <c r="G345" s="35"/>
      <c r="H345" s="34"/>
      <c r="I345" s="36"/>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137"/>
      <c r="BK345" s="143"/>
      <c r="BL345" s="143"/>
      <c r="BM345" s="143"/>
      <c r="BN345" s="143"/>
      <c r="BO345" s="143"/>
      <c r="BP345" s="143"/>
      <c r="BQ345" s="143"/>
      <c r="BR345" s="143"/>
      <c r="BS345" s="143"/>
      <c r="BT345" s="143"/>
      <c r="BU345" s="143"/>
      <c r="BV345" s="143"/>
      <c r="BW345" s="143"/>
      <c r="BX345" s="143"/>
      <c r="BY345" s="143"/>
      <c r="BZ345" s="143"/>
      <c r="CA345" s="143"/>
      <c r="CB345" s="143"/>
      <c r="CC345" s="143"/>
      <c r="CD345" s="143"/>
    </row>
    <row r="346" spans="1:82" ht="16.5" customHeight="1" x14ac:dyDescent="0.15">
      <c r="A346" s="35"/>
      <c r="B346" s="35"/>
      <c r="C346" s="35"/>
      <c r="D346" s="35"/>
      <c r="E346" s="35"/>
      <c r="F346" s="35"/>
      <c r="G346" s="35"/>
      <c r="H346" s="34"/>
      <c r="I346" s="36"/>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137"/>
      <c r="BK346" s="143"/>
      <c r="BL346" s="143"/>
      <c r="BM346" s="143"/>
      <c r="BN346" s="143"/>
      <c r="BO346" s="143"/>
      <c r="BP346" s="143"/>
      <c r="BQ346" s="143"/>
      <c r="BR346" s="143"/>
      <c r="BS346" s="143"/>
      <c r="BT346" s="143"/>
      <c r="BU346" s="143"/>
      <c r="BV346" s="143"/>
      <c r="BW346" s="143"/>
      <c r="BX346" s="143"/>
      <c r="BY346" s="143"/>
      <c r="BZ346" s="143"/>
      <c r="CA346" s="143"/>
      <c r="CB346" s="143"/>
      <c r="CC346" s="143"/>
      <c r="CD346" s="143"/>
    </row>
    <row r="347" spans="1:82" ht="16.5" customHeight="1" x14ac:dyDescent="0.15">
      <c r="A347" s="35"/>
      <c r="B347" s="35"/>
      <c r="C347" s="35"/>
      <c r="D347" s="35"/>
      <c r="E347" s="35"/>
      <c r="F347" s="35"/>
      <c r="G347" s="35"/>
      <c r="H347" s="34"/>
      <c r="I347" s="36"/>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137"/>
      <c r="BK347" s="143"/>
      <c r="BL347" s="143"/>
      <c r="BM347" s="143"/>
      <c r="BN347" s="143"/>
      <c r="BO347" s="143"/>
      <c r="BP347" s="143"/>
      <c r="BQ347" s="143"/>
      <c r="BR347" s="143"/>
      <c r="BS347" s="143"/>
      <c r="BT347" s="143"/>
      <c r="BU347" s="143"/>
      <c r="BV347" s="143"/>
      <c r="BW347" s="143"/>
      <c r="BX347" s="143"/>
      <c r="BY347" s="143"/>
      <c r="BZ347" s="143"/>
      <c r="CA347" s="143"/>
      <c r="CB347" s="143"/>
      <c r="CC347" s="143"/>
      <c r="CD347" s="143"/>
    </row>
    <row r="348" spans="1:82" ht="16.5" customHeight="1" x14ac:dyDescent="0.15">
      <c r="A348" s="35"/>
      <c r="B348" s="35"/>
      <c r="C348" s="35"/>
      <c r="D348" s="35"/>
      <c r="E348" s="35"/>
      <c r="F348" s="35"/>
      <c r="G348" s="35"/>
      <c r="H348" s="34"/>
      <c r="I348" s="36"/>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137"/>
      <c r="BK348" s="143"/>
      <c r="BL348" s="143"/>
      <c r="BM348" s="143"/>
      <c r="BN348" s="143"/>
      <c r="BO348" s="143"/>
      <c r="BP348" s="143"/>
      <c r="BQ348" s="143"/>
      <c r="BR348" s="143"/>
      <c r="BS348" s="143"/>
      <c r="BT348" s="143"/>
      <c r="BU348" s="143"/>
      <c r="BV348" s="143"/>
      <c r="BW348" s="143"/>
      <c r="BX348" s="143"/>
      <c r="BY348" s="143"/>
      <c r="BZ348" s="143"/>
      <c r="CA348" s="143"/>
      <c r="CB348" s="143"/>
      <c r="CC348" s="143"/>
      <c r="CD348" s="143"/>
    </row>
    <row r="349" spans="1:82" ht="16.5" customHeight="1" x14ac:dyDescent="0.15">
      <c r="A349" s="35"/>
      <c r="B349" s="35"/>
      <c r="C349" s="35"/>
      <c r="D349" s="35"/>
      <c r="E349" s="35"/>
      <c r="F349" s="35"/>
      <c r="G349" s="35"/>
      <c r="H349" s="34"/>
      <c r="I349" s="36"/>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137"/>
      <c r="BK349" s="143"/>
      <c r="BL349" s="143"/>
      <c r="BM349" s="143"/>
      <c r="BN349" s="143"/>
      <c r="BO349" s="143"/>
      <c r="BP349" s="143"/>
      <c r="BQ349" s="143"/>
      <c r="BR349" s="143"/>
      <c r="BS349" s="143"/>
      <c r="BT349" s="143"/>
      <c r="BU349" s="143"/>
      <c r="BV349" s="143"/>
      <c r="BW349" s="143"/>
      <c r="BX349" s="143"/>
      <c r="BY349" s="143"/>
      <c r="BZ349" s="143"/>
      <c r="CA349" s="143"/>
      <c r="CB349" s="143"/>
      <c r="CC349" s="143"/>
      <c r="CD349" s="143"/>
    </row>
    <row r="350" spans="1:82" ht="16.5" customHeight="1" x14ac:dyDescent="0.15">
      <c r="A350" s="35"/>
      <c r="B350" s="35"/>
      <c r="C350" s="35"/>
      <c r="D350" s="35"/>
      <c r="E350" s="35"/>
      <c r="F350" s="35"/>
      <c r="G350" s="35"/>
      <c r="H350" s="34"/>
      <c r="I350" s="36"/>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137"/>
      <c r="BK350" s="143"/>
      <c r="BL350" s="143"/>
      <c r="BM350" s="143"/>
      <c r="BN350" s="143"/>
      <c r="BO350" s="143"/>
      <c r="BP350" s="143"/>
      <c r="BQ350" s="143"/>
      <c r="BR350" s="143"/>
      <c r="BS350" s="143"/>
      <c r="BT350" s="143"/>
      <c r="BU350" s="143"/>
      <c r="BV350" s="143"/>
      <c r="BW350" s="143"/>
      <c r="BX350" s="143"/>
      <c r="BY350" s="143"/>
      <c r="BZ350" s="143"/>
      <c r="CA350" s="143"/>
      <c r="CB350" s="143"/>
      <c r="CC350" s="143"/>
      <c r="CD350" s="143"/>
    </row>
    <row r="351" spans="1:82" ht="16.5" customHeight="1" x14ac:dyDescent="0.15">
      <c r="A351" s="35"/>
      <c r="B351" s="35"/>
      <c r="C351" s="35"/>
      <c r="D351" s="35"/>
      <c r="E351" s="35"/>
      <c r="F351" s="35"/>
      <c r="G351" s="35"/>
      <c r="H351" s="34"/>
      <c r="I351" s="36"/>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137"/>
      <c r="BK351" s="143"/>
      <c r="BL351" s="143"/>
      <c r="BM351" s="143"/>
      <c r="BN351" s="143"/>
      <c r="BO351" s="143"/>
      <c r="BP351" s="143"/>
      <c r="BQ351" s="143"/>
      <c r="BR351" s="143"/>
      <c r="BS351" s="143"/>
      <c r="BT351" s="143"/>
      <c r="BU351" s="143"/>
      <c r="BV351" s="143"/>
      <c r="BW351" s="143"/>
      <c r="BX351" s="143"/>
      <c r="BY351" s="143"/>
      <c r="BZ351" s="143"/>
      <c r="CA351" s="143"/>
      <c r="CB351" s="143"/>
      <c r="CC351" s="143"/>
      <c r="CD351" s="143"/>
    </row>
    <row r="352" spans="1:82" ht="16.5" customHeight="1" x14ac:dyDescent="0.15">
      <c r="A352" s="35"/>
      <c r="B352" s="35"/>
      <c r="C352" s="35"/>
      <c r="D352" s="35"/>
      <c r="E352" s="35"/>
      <c r="F352" s="35"/>
      <c r="G352" s="35"/>
      <c r="H352" s="34"/>
      <c r="I352" s="36"/>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137"/>
      <c r="BK352" s="143"/>
      <c r="BL352" s="143"/>
      <c r="BM352" s="143"/>
      <c r="BN352" s="143"/>
      <c r="BO352" s="143"/>
      <c r="BP352" s="143"/>
      <c r="BQ352" s="143"/>
      <c r="BR352" s="143"/>
      <c r="BS352" s="143"/>
      <c r="BT352" s="143"/>
      <c r="BU352" s="143"/>
      <c r="BV352" s="143"/>
      <c r="BW352" s="143"/>
      <c r="BX352" s="143"/>
      <c r="BY352" s="143"/>
      <c r="BZ352" s="143"/>
      <c r="CA352" s="143"/>
      <c r="CB352" s="143"/>
      <c r="CC352" s="143"/>
      <c r="CD352" s="143"/>
    </row>
    <row r="353" spans="1:82" ht="16.5" customHeight="1" x14ac:dyDescent="0.15">
      <c r="A353" s="35"/>
      <c r="B353" s="35"/>
      <c r="C353" s="35"/>
      <c r="D353" s="35"/>
      <c r="E353" s="35"/>
      <c r="F353" s="35"/>
      <c r="G353" s="35"/>
      <c r="H353" s="34"/>
      <c r="I353" s="36"/>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137"/>
      <c r="BK353" s="143"/>
      <c r="BL353" s="143"/>
      <c r="BM353" s="143"/>
      <c r="BN353" s="143"/>
      <c r="BO353" s="143"/>
      <c r="BP353" s="143"/>
      <c r="BQ353" s="143"/>
      <c r="BR353" s="143"/>
      <c r="BS353" s="143"/>
      <c r="BT353" s="143"/>
      <c r="BU353" s="143"/>
      <c r="BV353" s="143"/>
      <c r="BW353" s="143"/>
      <c r="BX353" s="143"/>
      <c r="BY353" s="143"/>
      <c r="BZ353" s="143"/>
      <c r="CA353" s="143"/>
      <c r="CB353" s="143"/>
      <c r="CC353" s="143"/>
      <c r="CD353" s="143"/>
    </row>
    <row r="354" spans="1:82" ht="16.5" customHeight="1" x14ac:dyDescent="0.15">
      <c r="A354" s="35"/>
      <c r="B354" s="35"/>
      <c r="C354" s="35"/>
      <c r="D354" s="35"/>
      <c r="E354" s="35"/>
      <c r="F354" s="35"/>
      <c r="G354" s="35"/>
      <c r="H354" s="34"/>
      <c r="I354" s="36"/>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137"/>
      <c r="BK354" s="143"/>
      <c r="BL354" s="143"/>
      <c r="BM354" s="143"/>
      <c r="BN354" s="143"/>
      <c r="BO354" s="143"/>
      <c r="BP354" s="143"/>
      <c r="BQ354" s="143"/>
      <c r="BR354" s="143"/>
      <c r="BS354" s="143"/>
      <c r="BT354" s="143"/>
      <c r="BU354" s="143"/>
      <c r="BV354" s="143"/>
      <c r="BW354" s="143"/>
      <c r="BX354" s="143"/>
      <c r="BY354" s="143"/>
      <c r="BZ354" s="143"/>
      <c r="CA354" s="143"/>
      <c r="CB354" s="143"/>
      <c r="CC354" s="143"/>
      <c r="CD354" s="143"/>
    </row>
    <row r="355" spans="1:82" ht="16.5" customHeight="1" x14ac:dyDescent="0.15">
      <c r="A355" s="35"/>
      <c r="B355" s="35"/>
      <c r="C355" s="35"/>
      <c r="D355" s="35"/>
      <c r="E355" s="35"/>
      <c r="F355" s="35"/>
      <c r="G355" s="35"/>
      <c r="H355" s="34"/>
      <c r="I355" s="36"/>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137"/>
      <c r="BK355" s="143"/>
      <c r="BL355" s="143"/>
      <c r="BM355" s="143"/>
      <c r="BN355" s="143"/>
      <c r="BO355" s="143"/>
      <c r="BP355" s="143"/>
      <c r="BQ355" s="143"/>
      <c r="BR355" s="143"/>
      <c r="BS355" s="143"/>
      <c r="BT355" s="143"/>
      <c r="BU355" s="143"/>
      <c r="BV355" s="143"/>
      <c r="BW355" s="143"/>
      <c r="BX355" s="143"/>
      <c r="BY355" s="143"/>
      <c r="BZ355" s="143"/>
      <c r="CA355" s="143"/>
      <c r="CB355" s="143"/>
      <c r="CC355" s="143"/>
      <c r="CD355" s="143"/>
    </row>
    <row r="356" spans="1:82" ht="16.5" customHeight="1" x14ac:dyDescent="0.15">
      <c r="A356" s="35"/>
      <c r="B356" s="35"/>
      <c r="C356" s="35"/>
      <c r="D356" s="35"/>
      <c r="E356" s="35"/>
      <c r="F356" s="35"/>
      <c r="G356" s="35"/>
      <c r="H356" s="34"/>
      <c r="I356" s="36"/>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137"/>
      <c r="BK356" s="143"/>
      <c r="BL356" s="143"/>
      <c r="BM356" s="143"/>
      <c r="BN356" s="143"/>
      <c r="BO356" s="143"/>
      <c r="BP356" s="143"/>
      <c r="BQ356" s="143"/>
      <c r="BR356" s="143"/>
      <c r="BS356" s="143"/>
      <c r="BT356" s="143"/>
      <c r="BU356" s="143"/>
      <c r="BV356" s="143"/>
      <c r="BW356" s="143"/>
      <c r="BX356" s="143"/>
      <c r="BY356" s="143"/>
      <c r="BZ356" s="143"/>
      <c r="CA356" s="143"/>
      <c r="CB356" s="143"/>
      <c r="CC356" s="143"/>
      <c r="CD356" s="143"/>
    </row>
    <row r="357" spans="1:82" ht="16.5" customHeight="1" x14ac:dyDescent="0.15">
      <c r="A357" s="35"/>
      <c r="B357" s="35"/>
      <c r="C357" s="35"/>
      <c r="D357" s="35"/>
      <c r="E357" s="35"/>
      <c r="F357" s="35"/>
      <c r="G357" s="35"/>
      <c r="H357" s="34"/>
      <c r="I357" s="36"/>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137"/>
      <c r="BK357" s="143"/>
      <c r="BL357" s="143"/>
      <c r="BM357" s="143"/>
      <c r="BN357" s="143"/>
      <c r="BO357" s="143"/>
      <c r="BP357" s="143"/>
      <c r="BQ357" s="143"/>
      <c r="BR357" s="143"/>
      <c r="BS357" s="143"/>
      <c r="BT357" s="143"/>
      <c r="BU357" s="143"/>
      <c r="BV357" s="143"/>
      <c r="BW357" s="143"/>
      <c r="BX357" s="143"/>
      <c r="BY357" s="143"/>
      <c r="BZ357" s="143"/>
      <c r="CA357" s="143"/>
      <c r="CB357" s="143"/>
      <c r="CC357" s="143"/>
      <c r="CD357" s="143"/>
    </row>
    <row r="358" spans="1:82" ht="16.5" customHeight="1" x14ac:dyDescent="0.15">
      <c r="A358" s="35"/>
      <c r="B358" s="35"/>
      <c r="C358" s="35"/>
      <c r="D358" s="35"/>
      <c r="E358" s="35"/>
      <c r="F358" s="35"/>
      <c r="G358" s="35"/>
      <c r="H358" s="34"/>
      <c r="I358" s="36"/>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137"/>
      <c r="BK358" s="143"/>
      <c r="BL358" s="143"/>
      <c r="BM358" s="143"/>
      <c r="BN358" s="143"/>
      <c r="BO358" s="143"/>
      <c r="BP358" s="143"/>
      <c r="BQ358" s="143"/>
      <c r="BR358" s="143"/>
      <c r="BS358" s="143"/>
      <c r="BT358" s="143"/>
      <c r="BU358" s="143"/>
      <c r="BV358" s="143"/>
      <c r="BW358" s="143"/>
      <c r="BX358" s="143"/>
      <c r="BY358" s="143"/>
      <c r="BZ358" s="143"/>
      <c r="CA358" s="143"/>
      <c r="CB358" s="143"/>
      <c r="CC358" s="143"/>
      <c r="CD358" s="143"/>
    </row>
    <row r="359" spans="1:82" ht="16.5" customHeight="1" x14ac:dyDescent="0.15">
      <c r="A359" s="35"/>
      <c r="B359" s="35"/>
      <c r="C359" s="35"/>
      <c r="D359" s="35"/>
      <c r="E359" s="35"/>
      <c r="F359" s="35"/>
      <c r="G359" s="35"/>
      <c r="H359" s="34"/>
      <c r="I359" s="36"/>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137"/>
      <c r="BK359" s="143"/>
      <c r="BL359" s="143"/>
      <c r="BM359" s="143"/>
      <c r="BN359" s="143"/>
      <c r="BO359" s="143"/>
      <c r="BP359" s="143"/>
      <c r="BQ359" s="143"/>
      <c r="BR359" s="143"/>
      <c r="BS359" s="143"/>
      <c r="BT359" s="143"/>
      <c r="BU359" s="143"/>
      <c r="BV359" s="143"/>
      <c r="BW359" s="143"/>
      <c r="BX359" s="143"/>
      <c r="BY359" s="143"/>
      <c r="BZ359" s="143"/>
      <c r="CA359" s="143"/>
      <c r="CB359" s="143"/>
      <c r="CC359" s="143"/>
      <c r="CD359" s="143"/>
    </row>
    <row r="360" spans="1:82" ht="16.5" customHeight="1" x14ac:dyDescent="0.15">
      <c r="A360" s="35"/>
      <c r="B360" s="35"/>
      <c r="C360" s="35"/>
      <c r="D360" s="35"/>
      <c r="E360" s="35"/>
      <c r="F360" s="35"/>
      <c r="G360" s="35"/>
      <c r="H360" s="34"/>
      <c r="I360" s="36"/>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137"/>
      <c r="BK360" s="143"/>
      <c r="BL360" s="143"/>
      <c r="BM360" s="143"/>
      <c r="BN360" s="143"/>
      <c r="BO360" s="143"/>
      <c r="BP360" s="143"/>
      <c r="BQ360" s="143"/>
      <c r="BR360" s="143"/>
      <c r="BS360" s="143"/>
      <c r="BT360" s="143"/>
      <c r="BU360" s="143"/>
      <c r="BV360" s="143"/>
      <c r="BW360" s="143"/>
      <c r="BX360" s="143"/>
      <c r="BY360" s="143"/>
      <c r="BZ360" s="143"/>
      <c r="CA360" s="143"/>
      <c r="CB360" s="143"/>
      <c r="CC360" s="143"/>
      <c r="CD360" s="143"/>
    </row>
    <row r="361" spans="1:82" ht="16.5" customHeight="1" x14ac:dyDescent="0.15">
      <c r="A361" s="35"/>
      <c r="B361" s="35"/>
      <c r="C361" s="35"/>
      <c r="D361" s="35"/>
      <c r="E361" s="35"/>
      <c r="F361" s="35"/>
      <c r="G361" s="35"/>
      <c r="H361" s="34"/>
      <c r="I361" s="36"/>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137"/>
      <c r="BK361" s="143"/>
      <c r="BL361" s="143"/>
      <c r="BM361" s="143"/>
      <c r="BN361" s="143"/>
      <c r="BO361" s="143"/>
      <c r="BP361" s="143"/>
      <c r="BQ361" s="143"/>
      <c r="BR361" s="143"/>
      <c r="BS361" s="143"/>
      <c r="BT361" s="143"/>
      <c r="BU361" s="143"/>
      <c r="BV361" s="143"/>
      <c r="BW361" s="143"/>
      <c r="BX361" s="143"/>
      <c r="BY361" s="143"/>
      <c r="BZ361" s="143"/>
      <c r="CA361" s="143"/>
      <c r="CB361" s="143"/>
      <c r="CC361" s="143"/>
      <c r="CD361" s="143"/>
    </row>
    <row r="362" spans="1:82" ht="16.5" customHeight="1" x14ac:dyDescent="0.15">
      <c r="A362" s="35"/>
      <c r="B362" s="35"/>
      <c r="C362" s="35"/>
      <c r="D362" s="35"/>
      <c r="E362" s="35"/>
      <c r="F362" s="35"/>
      <c r="G362" s="35"/>
      <c r="H362" s="34"/>
      <c r="I362" s="36"/>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137"/>
      <c r="BK362" s="143"/>
      <c r="BL362" s="143"/>
      <c r="BM362" s="143"/>
      <c r="BN362" s="143"/>
      <c r="BO362" s="143"/>
      <c r="BP362" s="143"/>
      <c r="BQ362" s="143"/>
      <c r="BR362" s="143"/>
      <c r="BS362" s="143"/>
      <c r="BT362" s="143"/>
      <c r="BU362" s="143"/>
      <c r="BV362" s="143"/>
      <c r="BW362" s="143"/>
      <c r="BX362" s="143"/>
      <c r="BY362" s="143"/>
      <c r="BZ362" s="143"/>
      <c r="CA362" s="143"/>
      <c r="CB362" s="143"/>
      <c r="CC362" s="143"/>
      <c r="CD362" s="143"/>
    </row>
    <row r="363" spans="1:82" ht="16.5" customHeight="1" x14ac:dyDescent="0.15">
      <c r="A363" s="35"/>
      <c r="B363" s="35"/>
      <c r="C363" s="35"/>
      <c r="D363" s="35"/>
      <c r="E363" s="35"/>
      <c r="F363" s="35"/>
      <c r="G363" s="35"/>
      <c r="H363" s="34"/>
      <c r="I363" s="36"/>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137"/>
      <c r="BK363" s="143"/>
      <c r="BL363" s="143"/>
      <c r="BM363" s="143"/>
      <c r="BN363" s="143"/>
      <c r="BO363" s="143"/>
      <c r="BP363" s="143"/>
      <c r="BQ363" s="143"/>
      <c r="BR363" s="143"/>
      <c r="BS363" s="143"/>
      <c r="BT363" s="143"/>
      <c r="BU363" s="143"/>
      <c r="BV363" s="143"/>
      <c r="BW363" s="143"/>
      <c r="BX363" s="143"/>
      <c r="BY363" s="143"/>
      <c r="BZ363" s="143"/>
      <c r="CA363" s="143"/>
      <c r="CB363" s="143"/>
      <c r="CC363" s="143"/>
      <c r="CD363" s="143"/>
    </row>
    <row r="364" spans="1:82" ht="16.5" customHeight="1" x14ac:dyDescent="0.15">
      <c r="A364" s="35"/>
      <c r="B364" s="35"/>
      <c r="C364" s="35"/>
      <c r="D364" s="35"/>
      <c r="E364" s="35"/>
      <c r="F364" s="35"/>
      <c r="G364" s="35"/>
      <c r="H364" s="34"/>
      <c r="I364" s="36"/>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137"/>
      <c r="BK364" s="143"/>
      <c r="BL364" s="143"/>
      <c r="BM364" s="143"/>
      <c r="BN364" s="143"/>
      <c r="BO364" s="143"/>
      <c r="BP364" s="143"/>
      <c r="BQ364" s="143"/>
      <c r="BR364" s="143"/>
      <c r="BS364" s="143"/>
      <c r="BT364" s="143"/>
      <c r="BU364" s="143"/>
      <c r="BV364" s="143"/>
      <c r="BW364" s="143"/>
      <c r="BX364" s="143"/>
      <c r="BY364" s="143"/>
      <c r="BZ364" s="143"/>
      <c r="CA364" s="143"/>
      <c r="CB364" s="143"/>
      <c r="CC364" s="143"/>
      <c r="CD364" s="143"/>
    </row>
    <row r="365" spans="1:82" ht="16.5" customHeight="1" x14ac:dyDescent="0.15">
      <c r="A365" s="35"/>
      <c r="B365" s="35"/>
      <c r="C365" s="35"/>
      <c r="D365" s="35"/>
      <c r="E365" s="35"/>
      <c r="F365" s="35"/>
      <c r="G365" s="35"/>
      <c r="H365" s="34"/>
      <c r="I365" s="36"/>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137"/>
      <c r="BK365" s="143"/>
      <c r="BL365" s="143"/>
      <c r="BM365" s="143"/>
      <c r="BN365" s="143"/>
      <c r="BO365" s="143"/>
      <c r="BP365" s="143"/>
      <c r="BQ365" s="143"/>
      <c r="BR365" s="143"/>
      <c r="BS365" s="143"/>
      <c r="BT365" s="143"/>
      <c r="BU365" s="143"/>
      <c r="BV365" s="143"/>
      <c r="BW365" s="143"/>
      <c r="BX365" s="143"/>
      <c r="BY365" s="143"/>
      <c r="BZ365" s="143"/>
      <c r="CA365" s="143"/>
      <c r="CB365" s="143"/>
      <c r="CC365" s="143"/>
      <c r="CD365" s="143"/>
    </row>
    <row r="366" spans="1:82" ht="16.5" customHeight="1" x14ac:dyDescent="0.15">
      <c r="A366" s="35"/>
      <c r="B366" s="35"/>
      <c r="C366" s="35"/>
      <c r="D366" s="35"/>
      <c r="E366" s="35"/>
      <c r="F366" s="35"/>
      <c r="G366" s="35"/>
      <c r="H366" s="34"/>
      <c r="I366" s="36"/>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137"/>
      <c r="BK366" s="143"/>
      <c r="BL366" s="143"/>
      <c r="BM366" s="143"/>
      <c r="BN366" s="143"/>
      <c r="BO366" s="143"/>
      <c r="BP366" s="143"/>
      <c r="BQ366" s="143"/>
      <c r="BR366" s="143"/>
      <c r="BS366" s="143"/>
      <c r="BT366" s="143"/>
      <c r="BU366" s="143"/>
      <c r="BV366" s="143"/>
      <c r="BW366" s="143"/>
      <c r="BX366" s="143"/>
      <c r="BY366" s="143"/>
      <c r="BZ366" s="143"/>
      <c r="CA366" s="143"/>
      <c r="CB366" s="143"/>
      <c r="CC366" s="143"/>
      <c r="CD366" s="143"/>
    </row>
    <row r="367" spans="1:82" ht="16.5" customHeight="1" x14ac:dyDescent="0.15">
      <c r="A367" s="35"/>
      <c r="B367" s="35"/>
      <c r="C367" s="35"/>
      <c r="D367" s="35"/>
      <c r="E367" s="35"/>
      <c r="F367" s="35"/>
      <c r="G367" s="35"/>
      <c r="H367" s="34"/>
      <c r="I367" s="36"/>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137"/>
      <c r="BK367" s="143"/>
      <c r="BL367" s="143"/>
      <c r="BM367" s="143"/>
      <c r="BN367" s="143"/>
      <c r="BO367" s="143"/>
      <c r="BP367" s="143"/>
      <c r="BQ367" s="143"/>
      <c r="BR367" s="143"/>
      <c r="BS367" s="143"/>
      <c r="BT367" s="143"/>
      <c r="BU367" s="143"/>
      <c r="BV367" s="143"/>
      <c r="BW367" s="143"/>
      <c r="BX367" s="143"/>
      <c r="BY367" s="143"/>
      <c r="BZ367" s="143"/>
      <c r="CA367" s="143"/>
      <c r="CB367" s="143"/>
      <c r="CC367" s="143"/>
      <c r="CD367" s="143"/>
    </row>
    <row r="368" spans="1:82" ht="16.5" customHeight="1" x14ac:dyDescent="0.15">
      <c r="A368" s="35"/>
      <c r="B368" s="35"/>
      <c r="C368" s="35"/>
      <c r="D368" s="35"/>
      <c r="E368" s="35"/>
      <c r="F368" s="35"/>
      <c r="G368" s="35"/>
      <c r="H368" s="34"/>
      <c r="I368" s="36"/>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137"/>
      <c r="BK368" s="143"/>
      <c r="BL368" s="143"/>
      <c r="BM368" s="143"/>
      <c r="BN368" s="143"/>
      <c r="BO368" s="143"/>
      <c r="BP368" s="143"/>
      <c r="BQ368" s="143"/>
      <c r="BR368" s="143"/>
      <c r="BS368" s="143"/>
      <c r="BT368" s="143"/>
      <c r="BU368" s="143"/>
      <c r="BV368" s="143"/>
      <c r="BW368" s="143"/>
      <c r="BX368" s="143"/>
      <c r="BY368" s="143"/>
      <c r="BZ368" s="143"/>
      <c r="CA368" s="143"/>
      <c r="CB368" s="143"/>
      <c r="CC368" s="143"/>
      <c r="CD368" s="143"/>
    </row>
    <row r="369" spans="1:82" ht="16.5" customHeight="1" x14ac:dyDescent="0.15">
      <c r="A369" s="35"/>
      <c r="B369" s="35"/>
      <c r="C369" s="35"/>
      <c r="D369" s="35"/>
      <c r="E369" s="35"/>
      <c r="F369" s="35"/>
      <c r="G369" s="35"/>
      <c r="H369" s="34"/>
      <c r="I369" s="36"/>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137"/>
      <c r="BK369" s="143"/>
      <c r="BL369" s="143"/>
      <c r="BM369" s="143"/>
      <c r="BN369" s="143"/>
      <c r="BO369" s="143"/>
      <c r="BP369" s="143"/>
      <c r="BQ369" s="143"/>
      <c r="BR369" s="143"/>
      <c r="BS369" s="143"/>
      <c r="BT369" s="143"/>
      <c r="BU369" s="143"/>
      <c r="BV369" s="143"/>
      <c r="BW369" s="143"/>
      <c r="BX369" s="143"/>
      <c r="BY369" s="143"/>
      <c r="BZ369" s="143"/>
      <c r="CA369" s="143"/>
      <c r="CB369" s="143"/>
      <c r="CC369" s="143"/>
      <c r="CD369" s="143"/>
    </row>
    <row r="370" spans="1:82" ht="16.5" customHeight="1" x14ac:dyDescent="0.15">
      <c r="A370" s="35"/>
      <c r="B370" s="35"/>
      <c r="C370" s="35"/>
      <c r="D370" s="35"/>
      <c r="E370" s="35"/>
      <c r="F370" s="35"/>
      <c r="G370" s="35"/>
      <c r="H370" s="34"/>
      <c r="I370" s="36"/>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137"/>
      <c r="BK370" s="143"/>
      <c r="BL370" s="143"/>
      <c r="BM370" s="143"/>
      <c r="BN370" s="143"/>
      <c r="BO370" s="143"/>
      <c r="BP370" s="143"/>
      <c r="BQ370" s="143"/>
      <c r="BR370" s="143"/>
      <c r="BS370" s="143"/>
      <c r="BT370" s="143"/>
      <c r="BU370" s="143"/>
      <c r="BV370" s="143"/>
      <c r="BW370" s="143"/>
      <c r="BX370" s="143"/>
      <c r="BY370" s="143"/>
      <c r="BZ370" s="143"/>
      <c r="CA370" s="143"/>
      <c r="CB370" s="143"/>
      <c r="CC370" s="143"/>
      <c r="CD370" s="143"/>
    </row>
    <row r="371" spans="1:82" ht="16.5" customHeight="1" x14ac:dyDescent="0.15">
      <c r="A371" s="35"/>
      <c r="B371" s="35"/>
      <c r="C371" s="35"/>
      <c r="D371" s="35"/>
      <c r="E371" s="35"/>
      <c r="F371" s="35"/>
      <c r="G371" s="35"/>
      <c r="H371" s="34"/>
      <c r="I371" s="36"/>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137"/>
      <c r="BK371" s="143"/>
      <c r="BL371" s="143"/>
      <c r="BM371" s="143"/>
      <c r="BN371" s="143"/>
      <c r="BO371" s="143"/>
      <c r="BP371" s="143"/>
      <c r="BQ371" s="143"/>
      <c r="BR371" s="143"/>
      <c r="BS371" s="143"/>
      <c r="BT371" s="143"/>
      <c r="BU371" s="143"/>
      <c r="BV371" s="143"/>
      <c r="BW371" s="143"/>
      <c r="BX371" s="143"/>
      <c r="BY371" s="143"/>
      <c r="BZ371" s="143"/>
      <c r="CA371" s="143"/>
      <c r="CB371" s="143"/>
      <c r="CC371" s="143"/>
      <c r="CD371" s="143"/>
    </row>
    <row r="372" spans="1:82" ht="16.5" customHeight="1" x14ac:dyDescent="0.15">
      <c r="A372" s="35"/>
      <c r="B372" s="35"/>
      <c r="C372" s="35"/>
      <c r="D372" s="35"/>
      <c r="E372" s="35"/>
      <c r="F372" s="35"/>
      <c r="G372" s="35"/>
      <c r="H372" s="34"/>
      <c r="I372" s="36"/>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137"/>
      <c r="BK372" s="143"/>
      <c r="BL372" s="143"/>
      <c r="BM372" s="143"/>
      <c r="BN372" s="143"/>
      <c r="BO372" s="143"/>
      <c r="BP372" s="143"/>
      <c r="BQ372" s="143"/>
      <c r="BR372" s="143"/>
      <c r="BS372" s="143"/>
      <c r="BT372" s="143"/>
      <c r="BU372" s="143"/>
      <c r="BV372" s="143"/>
      <c r="BW372" s="143"/>
      <c r="BX372" s="143"/>
      <c r="BY372" s="143"/>
      <c r="BZ372" s="143"/>
      <c r="CA372" s="143"/>
      <c r="CB372" s="143"/>
      <c r="CC372" s="143"/>
      <c r="CD372" s="143"/>
    </row>
    <row r="373" spans="1:82" ht="16.5" customHeight="1" x14ac:dyDescent="0.15">
      <c r="A373" s="35"/>
      <c r="B373" s="35"/>
      <c r="C373" s="35"/>
      <c r="D373" s="35"/>
      <c r="E373" s="35"/>
      <c r="F373" s="35"/>
      <c r="G373" s="35"/>
      <c r="H373" s="34"/>
      <c r="I373" s="36"/>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137"/>
      <c r="BK373" s="143"/>
      <c r="BL373" s="143"/>
      <c r="BM373" s="143"/>
      <c r="BN373" s="143"/>
      <c r="BO373" s="143"/>
      <c r="BP373" s="143"/>
      <c r="BQ373" s="143"/>
      <c r="BR373" s="143"/>
      <c r="BS373" s="143"/>
      <c r="BT373" s="143"/>
      <c r="BU373" s="143"/>
      <c r="BV373" s="143"/>
      <c r="BW373" s="143"/>
      <c r="BX373" s="143"/>
      <c r="BY373" s="143"/>
      <c r="BZ373" s="143"/>
      <c r="CA373" s="143"/>
      <c r="CB373" s="143"/>
      <c r="CC373" s="143"/>
      <c r="CD373" s="143"/>
    </row>
    <row r="374" spans="1:82" ht="16.5" customHeight="1" x14ac:dyDescent="0.15">
      <c r="A374" s="35"/>
      <c r="B374" s="35"/>
      <c r="C374" s="35"/>
      <c r="D374" s="35"/>
      <c r="E374" s="35"/>
      <c r="F374" s="35"/>
      <c r="G374" s="35"/>
      <c r="H374" s="34"/>
      <c r="I374" s="36"/>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137"/>
      <c r="BK374" s="143"/>
      <c r="BL374" s="143"/>
      <c r="BM374" s="143"/>
      <c r="BN374" s="143"/>
      <c r="BO374" s="143"/>
      <c r="BP374" s="143"/>
      <c r="BQ374" s="143"/>
      <c r="BR374" s="143"/>
      <c r="BS374" s="143"/>
      <c r="BT374" s="143"/>
      <c r="BU374" s="143"/>
      <c r="BV374" s="143"/>
      <c r="BW374" s="143"/>
      <c r="BX374" s="143"/>
      <c r="BY374" s="143"/>
      <c r="BZ374" s="143"/>
      <c r="CA374" s="143"/>
      <c r="CB374" s="143"/>
      <c r="CC374" s="143"/>
      <c r="CD374" s="143"/>
    </row>
    <row r="375" spans="1:82" ht="16.5" customHeight="1" x14ac:dyDescent="0.15">
      <c r="A375" s="35"/>
      <c r="B375" s="35"/>
      <c r="C375" s="35"/>
      <c r="D375" s="35"/>
      <c r="E375" s="35"/>
      <c r="F375" s="35"/>
      <c r="G375" s="35"/>
      <c r="H375" s="34"/>
      <c r="I375" s="36"/>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137"/>
      <c r="BK375" s="143"/>
      <c r="BL375" s="143"/>
      <c r="BM375" s="143"/>
      <c r="BN375" s="143"/>
      <c r="BO375" s="143"/>
      <c r="BP375" s="143"/>
      <c r="BQ375" s="143"/>
      <c r="BR375" s="143"/>
      <c r="BS375" s="143"/>
      <c r="BT375" s="143"/>
      <c r="BU375" s="143"/>
      <c r="BV375" s="143"/>
      <c r="BW375" s="143"/>
      <c r="BX375" s="143"/>
      <c r="BY375" s="143"/>
      <c r="BZ375" s="143"/>
      <c r="CA375" s="143"/>
      <c r="CB375" s="143"/>
      <c r="CC375" s="143"/>
      <c r="CD375" s="143"/>
    </row>
    <row r="376" spans="1:82" ht="16.5" customHeight="1" x14ac:dyDescent="0.15">
      <c r="A376" s="35"/>
      <c r="B376" s="35"/>
      <c r="C376" s="35"/>
      <c r="D376" s="35"/>
      <c r="E376" s="35"/>
      <c r="F376" s="35"/>
      <c r="G376" s="35"/>
      <c r="H376" s="34"/>
      <c r="I376" s="36"/>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137"/>
      <c r="BK376" s="143"/>
      <c r="BL376" s="143"/>
      <c r="BM376" s="143"/>
      <c r="BN376" s="143"/>
      <c r="BO376" s="143"/>
      <c r="BP376" s="143"/>
      <c r="BQ376" s="143"/>
      <c r="BR376" s="143"/>
      <c r="BS376" s="143"/>
      <c r="BT376" s="143"/>
      <c r="BU376" s="143"/>
      <c r="BV376" s="143"/>
      <c r="BW376" s="143"/>
      <c r="BX376" s="143"/>
      <c r="BY376" s="143"/>
      <c r="BZ376" s="143"/>
      <c r="CA376" s="143"/>
      <c r="CB376" s="143"/>
      <c r="CC376" s="143"/>
      <c r="CD376" s="143"/>
    </row>
    <row r="377" spans="1:82" ht="16.5" customHeight="1" x14ac:dyDescent="0.15">
      <c r="A377" s="35"/>
      <c r="B377" s="35"/>
      <c r="C377" s="35"/>
      <c r="D377" s="35"/>
      <c r="E377" s="35"/>
      <c r="F377" s="35"/>
      <c r="G377" s="35"/>
      <c r="H377" s="34"/>
      <c r="I377" s="36"/>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137"/>
      <c r="BK377" s="143"/>
      <c r="BL377" s="143"/>
      <c r="BM377" s="143"/>
      <c r="BN377" s="143"/>
      <c r="BO377" s="143"/>
      <c r="BP377" s="143"/>
      <c r="BQ377" s="143"/>
      <c r="BR377" s="143"/>
      <c r="BS377" s="143"/>
      <c r="BT377" s="143"/>
      <c r="BU377" s="143"/>
      <c r="BV377" s="143"/>
      <c r="BW377" s="143"/>
      <c r="BX377" s="143"/>
      <c r="BY377" s="143"/>
      <c r="BZ377" s="143"/>
      <c r="CA377" s="143"/>
      <c r="CB377" s="143"/>
      <c r="CC377" s="143"/>
      <c r="CD377" s="143"/>
    </row>
    <row r="378" spans="1:82" ht="16.5" customHeight="1" x14ac:dyDescent="0.15">
      <c r="A378" s="35"/>
      <c r="B378" s="35"/>
      <c r="C378" s="35"/>
      <c r="D378" s="35"/>
      <c r="E378" s="35"/>
      <c r="F378" s="35"/>
      <c r="G378" s="35"/>
      <c r="H378" s="34"/>
      <c r="I378" s="36"/>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137"/>
      <c r="BK378" s="143"/>
      <c r="BL378" s="143"/>
      <c r="BM378" s="143"/>
      <c r="BN378" s="143"/>
      <c r="BO378" s="143"/>
      <c r="BP378" s="143"/>
      <c r="BQ378" s="143"/>
      <c r="BR378" s="143"/>
      <c r="BS378" s="143"/>
      <c r="BT378" s="143"/>
      <c r="BU378" s="143"/>
      <c r="BV378" s="143"/>
      <c r="BW378" s="143"/>
      <c r="BX378" s="143"/>
      <c r="BY378" s="143"/>
      <c r="BZ378" s="143"/>
      <c r="CA378" s="143"/>
      <c r="CB378" s="143"/>
      <c r="CC378" s="143"/>
      <c r="CD378" s="143"/>
    </row>
    <row r="379" spans="1:82" ht="16.5" customHeight="1" x14ac:dyDescent="0.15">
      <c r="A379" s="35"/>
      <c r="B379" s="35"/>
      <c r="C379" s="35"/>
      <c r="D379" s="35"/>
      <c r="E379" s="35"/>
      <c r="F379" s="35"/>
      <c r="G379" s="35"/>
      <c r="H379" s="34"/>
      <c r="I379" s="36"/>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137"/>
      <c r="BK379" s="143"/>
      <c r="BL379" s="143"/>
      <c r="BM379" s="143"/>
      <c r="BN379" s="143"/>
      <c r="BO379" s="143"/>
      <c r="BP379" s="143"/>
      <c r="BQ379" s="143"/>
      <c r="BR379" s="143"/>
      <c r="BS379" s="143"/>
      <c r="BT379" s="143"/>
      <c r="BU379" s="143"/>
      <c r="BV379" s="143"/>
      <c r="BW379" s="143"/>
      <c r="BX379" s="143"/>
      <c r="BY379" s="143"/>
      <c r="BZ379" s="143"/>
      <c r="CA379" s="143"/>
      <c r="CB379" s="143"/>
      <c r="CC379" s="143"/>
      <c r="CD379" s="143"/>
    </row>
    <row r="380" spans="1:82" ht="16.5" customHeight="1" x14ac:dyDescent="0.15">
      <c r="A380" s="35"/>
      <c r="B380" s="35"/>
      <c r="C380" s="35"/>
      <c r="D380" s="35"/>
      <c r="E380" s="35"/>
      <c r="F380" s="35"/>
      <c r="G380" s="35"/>
      <c r="H380" s="34"/>
      <c r="I380" s="36"/>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137"/>
      <c r="BK380" s="143"/>
      <c r="BL380" s="143"/>
      <c r="BM380" s="143"/>
      <c r="BN380" s="143"/>
      <c r="BO380" s="143"/>
      <c r="BP380" s="143"/>
      <c r="BQ380" s="143"/>
      <c r="BR380" s="143"/>
      <c r="BS380" s="143"/>
      <c r="BT380" s="143"/>
      <c r="BU380" s="143"/>
      <c r="BV380" s="143"/>
      <c r="BW380" s="143"/>
      <c r="BX380" s="143"/>
      <c r="BY380" s="143"/>
      <c r="BZ380" s="143"/>
      <c r="CA380" s="143"/>
      <c r="CB380" s="143"/>
      <c r="CC380" s="143"/>
      <c r="CD380" s="143"/>
    </row>
    <row r="381" spans="1:82" ht="16.5" customHeight="1" x14ac:dyDescent="0.15">
      <c r="A381" s="35"/>
      <c r="B381" s="35"/>
      <c r="C381" s="35"/>
      <c r="D381" s="35"/>
      <c r="E381" s="35"/>
      <c r="F381" s="35"/>
      <c r="G381" s="35"/>
      <c r="H381" s="34"/>
      <c r="I381" s="36"/>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137"/>
      <c r="BK381" s="143"/>
      <c r="BL381" s="143"/>
      <c r="BM381" s="143"/>
      <c r="BN381" s="143"/>
      <c r="BO381" s="143"/>
      <c r="BP381" s="143"/>
      <c r="BQ381" s="143"/>
      <c r="BR381" s="143"/>
      <c r="BS381" s="143"/>
      <c r="BT381" s="143"/>
      <c r="BU381" s="143"/>
      <c r="BV381" s="143"/>
      <c r="BW381" s="143"/>
      <c r="BX381" s="143"/>
      <c r="BY381" s="143"/>
      <c r="BZ381" s="143"/>
      <c r="CA381" s="143"/>
      <c r="CB381" s="143"/>
      <c r="CC381" s="143"/>
      <c r="CD381" s="143"/>
    </row>
    <row r="382" spans="1:82" ht="16.5" customHeight="1" x14ac:dyDescent="0.15">
      <c r="A382" s="35"/>
      <c r="B382" s="35"/>
      <c r="C382" s="35"/>
      <c r="D382" s="35"/>
      <c r="E382" s="35"/>
      <c r="F382" s="35"/>
      <c r="G382" s="35"/>
      <c r="H382" s="34"/>
      <c r="I382" s="36"/>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137"/>
      <c r="BK382" s="143"/>
      <c r="BL382" s="143"/>
      <c r="BM382" s="143"/>
      <c r="BN382" s="143"/>
      <c r="BO382" s="143"/>
      <c r="BP382" s="143"/>
      <c r="BQ382" s="143"/>
      <c r="BR382" s="143"/>
      <c r="BS382" s="143"/>
      <c r="BT382" s="143"/>
      <c r="BU382" s="143"/>
      <c r="BV382" s="143"/>
      <c r="BW382" s="143"/>
      <c r="BX382" s="143"/>
      <c r="BY382" s="143"/>
      <c r="BZ382" s="143"/>
      <c r="CA382" s="143"/>
      <c r="CB382" s="143"/>
      <c r="CC382" s="143"/>
      <c r="CD382" s="143"/>
    </row>
    <row r="383" spans="1:82" ht="16.5" customHeight="1" x14ac:dyDescent="0.15">
      <c r="A383" s="35"/>
      <c r="B383" s="35"/>
      <c r="C383" s="35"/>
      <c r="D383" s="35"/>
      <c r="E383" s="35"/>
      <c r="F383" s="35"/>
      <c r="G383" s="35"/>
      <c r="H383" s="34"/>
      <c r="I383" s="36"/>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137"/>
      <c r="BK383" s="143"/>
      <c r="BL383" s="143"/>
      <c r="BM383" s="143"/>
      <c r="BN383" s="143"/>
      <c r="BO383" s="143"/>
      <c r="BP383" s="143"/>
      <c r="BQ383" s="143"/>
      <c r="BR383" s="143"/>
      <c r="BS383" s="143"/>
      <c r="BT383" s="143"/>
      <c r="BU383" s="143"/>
      <c r="BV383" s="143"/>
      <c r="BW383" s="143"/>
      <c r="BX383" s="143"/>
      <c r="BY383" s="143"/>
      <c r="BZ383" s="143"/>
      <c r="CA383" s="143"/>
      <c r="CB383" s="143"/>
      <c r="CC383" s="143"/>
      <c r="CD383" s="143"/>
    </row>
    <row r="384" spans="1:82" ht="16.5" customHeight="1" x14ac:dyDescent="0.15">
      <c r="A384" s="35"/>
      <c r="B384" s="35"/>
      <c r="C384" s="35"/>
      <c r="D384" s="35"/>
      <c r="E384" s="35"/>
      <c r="F384" s="35"/>
      <c r="G384" s="35"/>
      <c r="H384" s="34"/>
      <c r="I384" s="36"/>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137"/>
      <c r="BK384" s="143"/>
      <c r="BL384" s="143"/>
      <c r="BM384" s="143"/>
      <c r="BN384" s="143"/>
      <c r="BO384" s="143"/>
      <c r="BP384" s="143"/>
      <c r="BQ384" s="143"/>
      <c r="BR384" s="143"/>
      <c r="BS384" s="143"/>
      <c r="BT384" s="143"/>
      <c r="BU384" s="143"/>
      <c r="BV384" s="143"/>
      <c r="BW384" s="143"/>
      <c r="BX384" s="143"/>
      <c r="BY384" s="143"/>
      <c r="BZ384" s="143"/>
      <c r="CA384" s="143"/>
      <c r="CB384" s="143"/>
      <c r="CC384" s="143"/>
      <c r="CD384" s="143"/>
    </row>
    <row r="385" spans="1:82" ht="16.5" customHeight="1" x14ac:dyDescent="0.15">
      <c r="A385" s="35"/>
      <c r="B385" s="35"/>
      <c r="C385" s="35"/>
      <c r="D385" s="35"/>
      <c r="E385" s="35"/>
      <c r="F385" s="35"/>
      <c r="G385" s="35"/>
      <c r="H385" s="34"/>
      <c r="I385" s="36"/>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137"/>
      <c r="BK385" s="143"/>
      <c r="BL385" s="143"/>
      <c r="BM385" s="143"/>
      <c r="BN385" s="143"/>
      <c r="BO385" s="143"/>
      <c r="BP385" s="143"/>
      <c r="BQ385" s="143"/>
      <c r="BR385" s="143"/>
      <c r="BS385" s="143"/>
      <c r="BT385" s="143"/>
      <c r="BU385" s="143"/>
      <c r="BV385" s="143"/>
      <c r="BW385" s="143"/>
      <c r="BX385" s="143"/>
      <c r="BY385" s="143"/>
      <c r="BZ385" s="143"/>
      <c r="CA385" s="143"/>
      <c r="CB385" s="143"/>
      <c r="CC385" s="143"/>
      <c r="CD385" s="143"/>
    </row>
    <row r="386" spans="1:82" ht="16.5" customHeight="1" x14ac:dyDescent="0.15">
      <c r="A386" s="35"/>
      <c r="B386" s="35"/>
      <c r="C386" s="35"/>
      <c r="D386" s="35"/>
      <c r="E386" s="35"/>
      <c r="F386" s="35"/>
      <c r="G386" s="35"/>
      <c r="H386" s="34"/>
      <c r="I386" s="36"/>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137"/>
      <c r="BK386" s="143"/>
      <c r="BL386" s="143"/>
      <c r="BM386" s="143"/>
      <c r="BN386" s="143"/>
      <c r="BO386" s="143"/>
      <c r="BP386" s="143"/>
      <c r="BQ386" s="143"/>
      <c r="BR386" s="143"/>
      <c r="BS386" s="143"/>
      <c r="BT386" s="143"/>
      <c r="BU386" s="143"/>
      <c r="BV386" s="143"/>
      <c r="BW386" s="143"/>
      <c r="BX386" s="143"/>
      <c r="BY386" s="143"/>
      <c r="BZ386" s="143"/>
      <c r="CA386" s="143"/>
      <c r="CB386" s="143"/>
      <c r="CC386" s="143"/>
      <c r="CD386" s="143"/>
    </row>
    <row r="387" spans="1:82" ht="16.5" customHeight="1" x14ac:dyDescent="0.15">
      <c r="A387" s="35"/>
      <c r="B387" s="35"/>
      <c r="C387" s="35"/>
      <c r="D387" s="35"/>
      <c r="E387" s="35"/>
      <c r="F387" s="35"/>
      <c r="G387" s="35"/>
      <c r="H387" s="34"/>
      <c r="I387" s="36"/>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137"/>
      <c r="BK387" s="143"/>
      <c r="BL387" s="143"/>
      <c r="BM387" s="143"/>
      <c r="BN387" s="143"/>
      <c r="BO387" s="143"/>
      <c r="BP387" s="143"/>
      <c r="BQ387" s="143"/>
      <c r="BR387" s="143"/>
      <c r="BS387" s="143"/>
      <c r="BT387" s="143"/>
      <c r="BU387" s="143"/>
      <c r="BV387" s="143"/>
      <c r="BW387" s="143"/>
      <c r="BX387" s="143"/>
      <c r="BY387" s="143"/>
      <c r="BZ387" s="143"/>
      <c r="CA387" s="143"/>
      <c r="CB387" s="143"/>
      <c r="CC387" s="143"/>
      <c r="CD387" s="143"/>
    </row>
    <row r="388" spans="1:82" ht="16.5" customHeight="1" x14ac:dyDescent="0.15">
      <c r="A388" s="35"/>
      <c r="B388" s="35"/>
      <c r="C388" s="35"/>
      <c r="D388" s="35"/>
      <c r="E388" s="35"/>
      <c r="F388" s="35"/>
      <c r="G388" s="35"/>
      <c r="H388" s="34"/>
      <c r="I388" s="36"/>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137"/>
      <c r="BK388" s="143"/>
      <c r="BL388" s="143"/>
      <c r="BM388" s="143"/>
      <c r="BN388" s="143"/>
      <c r="BO388" s="143"/>
      <c r="BP388" s="143"/>
      <c r="BQ388" s="143"/>
      <c r="BR388" s="143"/>
      <c r="BS388" s="143"/>
      <c r="BT388" s="143"/>
      <c r="BU388" s="143"/>
      <c r="BV388" s="143"/>
      <c r="BW388" s="143"/>
      <c r="BX388" s="143"/>
      <c r="BY388" s="143"/>
      <c r="BZ388" s="143"/>
      <c r="CA388" s="143"/>
      <c r="CB388" s="143"/>
      <c r="CC388" s="143"/>
      <c r="CD388" s="143"/>
    </row>
    <row r="389" spans="1:82" ht="16.5" customHeight="1" x14ac:dyDescent="0.15">
      <c r="A389" s="35"/>
      <c r="B389" s="35"/>
      <c r="C389" s="35"/>
      <c r="D389" s="35"/>
      <c r="E389" s="35"/>
      <c r="F389" s="35"/>
      <c r="G389" s="35"/>
      <c r="H389" s="34"/>
      <c r="I389" s="36"/>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137"/>
      <c r="BK389" s="143"/>
      <c r="BL389" s="143"/>
      <c r="BM389" s="143"/>
      <c r="BN389" s="143"/>
      <c r="BO389" s="143"/>
      <c r="BP389" s="143"/>
      <c r="BQ389" s="143"/>
      <c r="BR389" s="143"/>
      <c r="BS389" s="143"/>
      <c r="BT389" s="143"/>
      <c r="BU389" s="143"/>
      <c r="BV389" s="143"/>
      <c r="BW389" s="143"/>
      <c r="BX389" s="143"/>
      <c r="BY389" s="143"/>
      <c r="BZ389" s="143"/>
      <c r="CA389" s="143"/>
      <c r="CB389" s="143"/>
      <c r="CC389" s="143"/>
      <c r="CD389" s="143"/>
    </row>
    <row r="390" spans="1:82" ht="16.5" customHeight="1" x14ac:dyDescent="0.15">
      <c r="A390" s="35"/>
      <c r="B390" s="35"/>
      <c r="C390" s="35"/>
      <c r="D390" s="35"/>
      <c r="E390" s="35"/>
      <c r="F390" s="35"/>
      <c r="G390" s="35"/>
      <c r="H390" s="34"/>
      <c r="I390" s="36"/>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137"/>
      <c r="BK390" s="143"/>
      <c r="BL390" s="143"/>
      <c r="BM390" s="143"/>
      <c r="BN390" s="143"/>
      <c r="BO390" s="143"/>
      <c r="BP390" s="143"/>
      <c r="BQ390" s="143"/>
      <c r="BR390" s="143"/>
      <c r="BS390" s="143"/>
      <c r="BT390" s="143"/>
      <c r="BU390" s="143"/>
      <c r="BV390" s="143"/>
      <c r="BW390" s="143"/>
      <c r="BX390" s="143"/>
      <c r="BY390" s="143"/>
      <c r="BZ390" s="143"/>
      <c r="CA390" s="143"/>
      <c r="CB390" s="143"/>
      <c r="CC390" s="143"/>
      <c r="CD390" s="143"/>
    </row>
    <row r="391" spans="1:82" ht="16.5" customHeight="1" x14ac:dyDescent="0.15">
      <c r="A391" s="35"/>
      <c r="B391" s="35"/>
      <c r="C391" s="35"/>
      <c r="D391" s="35"/>
      <c r="E391" s="35"/>
      <c r="F391" s="35"/>
      <c r="G391" s="35"/>
      <c r="H391" s="34"/>
      <c r="I391" s="36"/>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137"/>
      <c r="BK391" s="143"/>
      <c r="BL391" s="143"/>
      <c r="BM391" s="143"/>
      <c r="BN391" s="143"/>
      <c r="BO391" s="143"/>
      <c r="BP391" s="143"/>
      <c r="BQ391" s="143"/>
      <c r="BR391" s="143"/>
      <c r="BS391" s="143"/>
      <c r="BT391" s="143"/>
      <c r="BU391" s="143"/>
      <c r="BV391" s="143"/>
      <c r="BW391" s="143"/>
      <c r="BX391" s="143"/>
      <c r="BY391" s="143"/>
      <c r="BZ391" s="143"/>
      <c r="CA391" s="143"/>
      <c r="CB391" s="143"/>
      <c r="CC391" s="143"/>
      <c r="CD391" s="143"/>
    </row>
    <row r="392" spans="1:82" ht="16.5" customHeight="1" x14ac:dyDescent="0.15">
      <c r="A392" s="35"/>
      <c r="B392" s="35"/>
      <c r="C392" s="35"/>
      <c r="D392" s="35"/>
      <c r="E392" s="35"/>
      <c r="F392" s="35"/>
      <c r="G392" s="35"/>
      <c r="H392" s="34"/>
      <c r="I392" s="36"/>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137"/>
      <c r="BK392" s="143"/>
      <c r="BL392" s="143"/>
      <c r="BM392" s="143"/>
      <c r="BN392" s="143"/>
      <c r="BO392" s="143"/>
      <c r="BP392" s="143"/>
      <c r="BQ392" s="143"/>
      <c r="BR392" s="143"/>
      <c r="BS392" s="143"/>
      <c r="BT392" s="143"/>
      <c r="BU392" s="143"/>
      <c r="BV392" s="143"/>
      <c r="BW392" s="143"/>
      <c r="BX392" s="143"/>
      <c r="BY392" s="143"/>
      <c r="BZ392" s="143"/>
      <c r="CA392" s="143"/>
      <c r="CB392" s="143"/>
      <c r="CC392" s="143"/>
      <c r="CD392" s="143"/>
    </row>
    <row r="393" spans="1:82" ht="16.5" customHeight="1" x14ac:dyDescent="0.15">
      <c r="A393" s="35"/>
      <c r="B393" s="35"/>
      <c r="C393" s="35"/>
      <c r="D393" s="35"/>
      <c r="E393" s="35"/>
      <c r="F393" s="35"/>
      <c r="G393" s="35"/>
      <c r="H393" s="34"/>
      <c r="I393" s="36"/>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137"/>
      <c r="BK393" s="143"/>
      <c r="BL393" s="143"/>
      <c r="BM393" s="143"/>
      <c r="BN393" s="143"/>
      <c r="BO393" s="143"/>
      <c r="BP393" s="143"/>
      <c r="BQ393" s="143"/>
      <c r="BR393" s="143"/>
      <c r="BS393" s="143"/>
      <c r="BT393" s="143"/>
      <c r="BU393" s="143"/>
      <c r="BV393" s="143"/>
      <c r="BW393" s="143"/>
      <c r="BX393" s="143"/>
      <c r="BY393" s="143"/>
      <c r="BZ393" s="143"/>
      <c r="CA393" s="143"/>
      <c r="CB393" s="143"/>
      <c r="CC393" s="143"/>
      <c r="CD393" s="143"/>
    </row>
    <row r="394" spans="1:82" ht="16.5" customHeight="1" x14ac:dyDescent="0.15">
      <c r="A394" s="35"/>
      <c r="B394" s="35"/>
      <c r="C394" s="35"/>
      <c r="D394" s="35"/>
      <c r="E394" s="35"/>
      <c r="F394" s="35"/>
      <c r="G394" s="35"/>
      <c r="H394" s="34"/>
      <c r="I394" s="36"/>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137"/>
      <c r="BK394" s="143"/>
      <c r="BL394" s="143"/>
      <c r="BM394" s="143"/>
      <c r="BN394" s="143"/>
      <c r="BO394" s="143"/>
      <c r="BP394" s="143"/>
      <c r="BQ394" s="143"/>
      <c r="BR394" s="143"/>
      <c r="BS394" s="143"/>
      <c r="BT394" s="143"/>
      <c r="BU394" s="143"/>
      <c r="BV394" s="143"/>
      <c r="BW394" s="143"/>
      <c r="BX394" s="143"/>
      <c r="BY394" s="143"/>
      <c r="BZ394" s="143"/>
      <c r="CA394" s="143"/>
      <c r="CB394" s="143"/>
      <c r="CC394" s="143"/>
      <c r="CD394" s="143"/>
    </row>
    <row r="395" spans="1:82" ht="16.5" customHeight="1" x14ac:dyDescent="0.15">
      <c r="A395" s="35"/>
      <c r="B395" s="35"/>
      <c r="C395" s="35"/>
      <c r="D395" s="35"/>
      <c r="E395" s="35"/>
      <c r="F395" s="35"/>
      <c r="G395" s="35"/>
      <c r="H395" s="34"/>
      <c r="I395" s="36"/>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137"/>
      <c r="BK395" s="143"/>
      <c r="BL395" s="143"/>
      <c r="BM395" s="143"/>
      <c r="BN395" s="143"/>
      <c r="BO395" s="143"/>
      <c r="BP395" s="143"/>
      <c r="BQ395" s="143"/>
      <c r="BR395" s="143"/>
      <c r="BS395" s="143"/>
      <c r="BT395" s="143"/>
      <c r="BU395" s="143"/>
      <c r="BV395" s="143"/>
      <c r="BW395" s="143"/>
      <c r="BX395" s="143"/>
      <c r="BY395" s="143"/>
      <c r="BZ395" s="143"/>
      <c r="CA395" s="143"/>
      <c r="CB395" s="143"/>
      <c r="CC395" s="143"/>
      <c r="CD395" s="143"/>
    </row>
    <row r="396" spans="1:82" ht="16.5" customHeight="1" x14ac:dyDescent="0.15">
      <c r="A396" s="35"/>
      <c r="B396" s="35"/>
      <c r="C396" s="35"/>
      <c r="D396" s="35"/>
      <c r="E396" s="35"/>
      <c r="F396" s="35"/>
      <c r="G396" s="35"/>
      <c r="H396" s="34"/>
      <c r="I396" s="36"/>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137"/>
      <c r="BK396" s="143"/>
      <c r="BL396" s="143"/>
      <c r="BM396" s="143"/>
      <c r="BN396" s="143"/>
      <c r="BO396" s="143"/>
      <c r="BP396" s="143"/>
      <c r="BQ396" s="143"/>
      <c r="BR396" s="143"/>
      <c r="BS396" s="143"/>
      <c r="BT396" s="143"/>
      <c r="BU396" s="143"/>
      <c r="BV396" s="143"/>
      <c r="BW396" s="143"/>
      <c r="BX396" s="143"/>
      <c r="BY396" s="143"/>
      <c r="BZ396" s="143"/>
      <c r="CA396" s="143"/>
      <c r="CB396" s="143"/>
      <c r="CC396" s="143"/>
      <c r="CD396" s="143"/>
    </row>
    <row r="397" spans="1:82" ht="16.5" customHeight="1" x14ac:dyDescent="0.15">
      <c r="A397" s="35"/>
      <c r="B397" s="35"/>
      <c r="C397" s="35"/>
      <c r="D397" s="35"/>
      <c r="E397" s="35"/>
      <c r="F397" s="35"/>
      <c r="G397" s="35"/>
      <c r="H397" s="34"/>
      <c r="I397" s="36"/>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137"/>
      <c r="BK397" s="143"/>
      <c r="BL397" s="143"/>
      <c r="BM397" s="143"/>
      <c r="BN397" s="143"/>
      <c r="BO397" s="143"/>
      <c r="BP397" s="143"/>
      <c r="BQ397" s="143"/>
      <c r="BR397" s="143"/>
      <c r="BS397" s="143"/>
      <c r="BT397" s="143"/>
      <c r="BU397" s="143"/>
      <c r="BV397" s="143"/>
      <c r="BW397" s="143"/>
      <c r="BX397" s="143"/>
      <c r="BY397" s="143"/>
      <c r="BZ397" s="143"/>
      <c r="CA397" s="143"/>
      <c r="CB397" s="143"/>
      <c r="CC397" s="143"/>
      <c r="CD397" s="143"/>
    </row>
    <row r="398" spans="1:82" ht="16.5" customHeight="1" x14ac:dyDescent="0.15">
      <c r="A398" s="35"/>
      <c r="B398" s="35"/>
      <c r="C398" s="35"/>
      <c r="D398" s="35"/>
      <c r="E398" s="35"/>
      <c r="F398" s="35"/>
      <c r="G398" s="35"/>
      <c r="H398" s="34"/>
      <c r="I398" s="36"/>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137"/>
      <c r="BK398" s="143"/>
      <c r="BL398" s="143"/>
      <c r="BM398" s="143"/>
      <c r="BN398" s="143"/>
      <c r="BO398" s="143"/>
      <c r="BP398" s="143"/>
      <c r="BQ398" s="143"/>
      <c r="BR398" s="143"/>
      <c r="BS398" s="143"/>
      <c r="BT398" s="143"/>
      <c r="BU398" s="143"/>
      <c r="BV398" s="143"/>
      <c r="BW398" s="143"/>
      <c r="BX398" s="143"/>
      <c r="BY398" s="143"/>
      <c r="BZ398" s="143"/>
      <c r="CA398" s="143"/>
      <c r="CB398" s="143"/>
      <c r="CC398" s="143"/>
      <c r="CD398" s="143"/>
    </row>
    <row r="399" spans="1:82" ht="16.5" customHeight="1" x14ac:dyDescent="0.15">
      <c r="A399" s="35"/>
      <c r="B399" s="35"/>
      <c r="C399" s="35"/>
      <c r="D399" s="35"/>
      <c r="E399" s="35"/>
      <c r="F399" s="35"/>
      <c r="G399" s="35"/>
      <c r="H399" s="34"/>
      <c r="I399" s="36"/>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137"/>
      <c r="BK399" s="143"/>
      <c r="BL399" s="143"/>
      <c r="BM399" s="143"/>
      <c r="BN399" s="143"/>
      <c r="BO399" s="143"/>
      <c r="BP399" s="143"/>
      <c r="BQ399" s="143"/>
      <c r="BR399" s="143"/>
      <c r="BS399" s="143"/>
      <c r="BT399" s="143"/>
      <c r="BU399" s="143"/>
      <c r="BV399" s="143"/>
      <c r="BW399" s="143"/>
      <c r="BX399" s="143"/>
      <c r="BY399" s="143"/>
      <c r="BZ399" s="143"/>
      <c r="CA399" s="143"/>
      <c r="CB399" s="143"/>
      <c r="CC399" s="143"/>
      <c r="CD399" s="143"/>
    </row>
    <row r="400" spans="1:82" ht="16.5" customHeight="1" x14ac:dyDescent="0.15">
      <c r="A400" s="35"/>
      <c r="B400" s="35"/>
      <c r="C400" s="35"/>
      <c r="D400" s="35"/>
      <c r="E400" s="35"/>
      <c r="F400" s="35"/>
      <c r="G400" s="35"/>
      <c r="H400" s="34"/>
      <c r="I400" s="36"/>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137"/>
      <c r="BK400" s="143"/>
      <c r="BL400" s="143"/>
      <c r="BM400" s="143"/>
      <c r="BN400" s="143"/>
      <c r="BO400" s="143"/>
      <c r="BP400" s="143"/>
      <c r="BQ400" s="143"/>
      <c r="BR400" s="143"/>
      <c r="BS400" s="143"/>
      <c r="BT400" s="143"/>
      <c r="BU400" s="143"/>
      <c r="BV400" s="143"/>
      <c r="BW400" s="143"/>
      <c r="BX400" s="143"/>
      <c r="BY400" s="143"/>
      <c r="BZ400" s="143"/>
      <c r="CA400" s="143"/>
      <c r="CB400" s="143"/>
      <c r="CC400" s="143"/>
      <c r="CD400" s="143"/>
    </row>
    <row r="401" spans="1:82" ht="16.5" customHeight="1" x14ac:dyDescent="0.15">
      <c r="A401" s="35"/>
      <c r="B401" s="35"/>
      <c r="C401" s="35"/>
      <c r="D401" s="35"/>
      <c r="E401" s="35"/>
      <c r="F401" s="35"/>
      <c r="G401" s="35"/>
      <c r="H401" s="34"/>
      <c r="I401" s="36"/>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137"/>
      <c r="BK401" s="143"/>
      <c r="BL401" s="143"/>
      <c r="BM401" s="143"/>
      <c r="BN401" s="143"/>
      <c r="BO401" s="143"/>
      <c r="BP401" s="143"/>
      <c r="BQ401" s="143"/>
      <c r="BR401" s="143"/>
      <c r="BS401" s="143"/>
      <c r="BT401" s="143"/>
      <c r="BU401" s="143"/>
      <c r="BV401" s="143"/>
      <c r="BW401" s="143"/>
      <c r="BX401" s="143"/>
      <c r="BY401" s="143"/>
      <c r="BZ401" s="143"/>
      <c r="CA401" s="143"/>
      <c r="CB401" s="143"/>
      <c r="CC401" s="143"/>
      <c r="CD401" s="143"/>
    </row>
    <row r="402" spans="1:82" ht="16.5" customHeight="1" x14ac:dyDescent="0.15">
      <c r="A402" s="35"/>
      <c r="B402" s="35"/>
      <c r="C402" s="35"/>
      <c r="D402" s="35"/>
      <c r="E402" s="35"/>
      <c r="F402" s="35"/>
      <c r="G402" s="35"/>
      <c r="H402" s="34"/>
      <c r="I402" s="36"/>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137"/>
      <c r="BK402" s="143"/>
      <c r="BL402" s="143"/>
      <c r="BM402" s="143"/>
      <c r="BN402" s="143"/>
      <c r="BO402" s="143"/>
      <c r="BP402" s="143"/>
      <c r="BQ402" s="143"/>
      <c r="BR402" s="143"/>
      <c r="BS402" s="143"/>
      <c r="BT402" s="143"/>
      <c r="BU402" s="143"/>
      <c r="BV402" s="143"/>
      <c r="BW402" s="143"/>
      <c r="BX402" s="143"/>
      <c r="BY402" s="143"/>
      <c r="BZ402" s="143"/>
      <c r="CA402" s="143"/>
      <c r="CB402" s="143"/>
      <c r="CC402" s="143"/>
      <c r="CD402" s="143"/>
    </row>
    <row r="403" spans="1:82" ht="16.5" customHeight="1" x14ac:dyDescent="0.15">
      <c r="A403" s="35"/>
      <c r="B403" s="35"/>
      <c r="C403" s="35"/>
      <c r="D403" s="35"/>
      <c r="E403" s="35"/>
      <c r="F403" s="35"/>
      <c r="G403" s="35"/>
      <c r="H403" s="34"/>
      <c r="I403" s="36"/>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137"/>
      <c r="BK403" s="143"/>
      <c r="BL403" s="143"/>
      <c r="BM403" s="143"/>
      <c r="BN403" s="143"/>
      <c r="BO403" s="143"/>
      <c r="BP403" s="143"/>
      <c r="BQ403" s="143"/>
      <c r="BR403" s="143"/>
      <c r="BS403" s="143"/>
      <c r="BT403" s="143"/>
      <c r="BU403" s="143"/>
      <c r="BV403" s="143"/>
      <c r="BW403" s="143"/>
      <c r="BX403" s="143"/>
      <c r="BY403" s="143"/>
      <c r="BZ403" s="143"/>
      <c r="CA403" s="143"/>
      <c r="CB403" s="143"/>
      <c r="CC403" s="143"/>
      <c r="CD403" s="143"/>
    </row>
    <row r="404" spans="1:82" ht="16.5" customHeight="1" x14ac:dyDescent="0.15">
      <c r="A404" s="35"/>
      <c r="B404" s="35"/>
      <c r="C404" s="35"/>
      <c r="D404" s="35"/>
      <c r="E404" s="35"/>
      <c r="F404" s="35"/>
      <c r="G404" s="35"/>
      <c r="H404" s="34"/>
      <c r="I404" s="36"/>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137"/>
      <c r="BK404" s="143"/>
      <c r="BL404" s="143"/>
      <c r="BM404" s="143"/>
      <c r="BN404" s="143"/>
      <c r="BO404" s="143"/>
      <c r="BP404" s="143"/>
      <c r="BQ404" s="143"/>
      <c r="BR404" s="143"/>
      <c r="BS404" s="143"/>
      <c r="BT404" s="143"/>
      <c r="BU404" s="143"/>
      <c r="BV404" s="143"/>
      <c r="BW404" s="143"/>
      <c r="BX404" s="143"/>
      <c r="BY404" s="143"/>
      <c r="BZ404" s="143"/>
      <c r="CA404" s="143"/>
      <c r="CB404" s="143"/>
      <c r="CC404" s="143"/>
      <c r="CD404" s="143"/>
    </row>
    <row r="405" spans="1:82" ht="16.5" customHeight="1" x14ac:dyDescent="0.15">
      <c r="A405" s="35"/>
      <c r="B405" s="35"/>
      <c r="C405" s="35"/>
      <c r="D405" s="35"/>
      <c r="E405" s="35"/>
      <c r="F405" s="35"/>
      <c r="G405" s="35"/>
      <c r="H405" s="34"/>
      <c r="I405" s="36"/>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137"/>
      <c r="BK405" s="143"/>
      <c r="BL405" s="143"/>
      <c r="BM405" s="143"/>
      <c r="BN405" s="143"/>
      <c r="BO405" s="143"/>
      <c r="BP405" s="143"/>
      <c r="BQ405" s="143"/>
      <c r="BR405" s="143"/>
      <c r="BS405" s="143"/>
      <c r="BT405" s="143"/>
      <c r="BU405" s="143"/>
      <c r="BV405" s="143"/>
      <c r="BW405" s="143"/>
      <c r="BX405" s="143"/>
      <c r="BY405" s="143"/>
      <c r="BZ405" s="143"/>
      <c r="CA405" s="143"/>
      <c r="CB405" s="143"/>
      <c r="CC405" s="143"/>
      <c r="CD405" s="143"/>
    </row>
    <row r="406" spans="1:82" ht="16.5" customHeight="1" x14ac:dyDescent="0.15">
      <c r="A406" s="35"/>
      <c r="B406" s="35"/>
      <c r="C406" s="35"/>
      <c r="D406" s="35"/>
      <c r="E406" s="35"/>
      <c r="F406" s="35"/>
      <c r="G406" s="35"/>
      <c r="H406" s="34"/>
      <c r="I406" s="36"/>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137"/>
      <c r="BK406" s="143"/>
      <c r="BL406" s="143"/>
      <c r="BM406" s="143"/>
      <c r="BN406" s="143"/>
      <c r="BO406" s="143"/>
      <c r="BP406" s="143"/>
      <c r="BQ406" s="143"/>
      <c r="BR406" s="143"/>
      <c r="BS406" s="143"/>
      <c r="BT406" s="143"/>
      <c r="BU406" s="143"/>
      <c r="BV406" s="143"/>
      <c r="BW406" s="143"/>
      <c r="BX406" s="143"/>
      <c r="BY406" s="143"/>
      <c r="BZ406" s="143"/>
      <c r="CA406" s="143"/>
      <c r="CB406" s="143"/>
      <c r="CC406" s="143"/>
      <c r="CD406" s="143"/>
    </row>
    <row r="407" spans="1:82" ht="16.5" customHeight="1" x14ac:dyDescent="0.15">
      <c r="A407" s="35"/>
      <c r="B407" s="35"/>
      <c r="C407" s="35"/>
      <c r="D407" s="35"/>
      <c r="E407" s="35"/>
      <c r="F407" s="35"/>
      <c r="G407" s="35"/>
      <c r="H407" s="34"/>
      <c r="I407" s="36"/>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137"/>
      <c r="BK407" s="143"/>
      <c r="BL407" s="143"/>
      <c r="BM407" s="143"/>
      <c r="BN407" s="143"/>
      <c r="BO407" s="143"/>
      <c r="BP407" s="143"/>
      <c r="BQ407" s="143"/>
      <c r="BR407" s="143"/>
      <c r="BS407" s="143"/>
      <c r="BT407" s="143"/>
      <c r="BU407" s="143"/>
      <c r="BV407" s="143"/>
      <c r="BW407" s="143"/>
      <c r="BX407" s="143"/>
      <c r="BY407" s="143"/>
      <c r="BZ407" s="143"/>
      <c r="CA407" s="143"/>
      <c r="CB407" s="143"/>
      <c r="CC407" s="143"/>
      <c r="CD407" s="143"/>
    </row>
    <row r="408" spans="1:82" ht="16.5" customHeight="1" x14ac:dyDescent="0.15">
      <c r="A408" s="35"/>
      <c r="B408" s="35"/>
      <c r="C408" s="35"/>
      <c r="D408" s="35"/>
      <c r="E408" s="35"/>
      <c r="F408" s="35"/>
      <c r="G408" s="35"/>
      <c r="H408" s="34"/>
      <c r="I408" s="36"/>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137"/>
      <c r="BK408" s="143"/>
      <c r="BL408" s="143"/>
      <c r="BM408" s="143"/>
      <c r="BN408" s="143"/>
      <c r="BO408" s="143"/>
      <c r="BP408" s="143"/>
      <c r="BQ408" s="143"/>
      <c r="BR408" s="143"/>
      <c r="BS408" s="143"/>
      <c r="BT408" s="143"/>
      <c r="BU408" s="143"/>
      <c r="BV408" s="143"/>
      <c r="BW408" s="143"/>
      <c r="BX408" s="143"/>
      <c r="BY408" s="143"/>
      <c r="BZ408" s="143"/>
      <c r="CA408" s="143"/>
      <c r="CB408" s="143"/>
      <c r="CC408" s="143"/>
      <c r="CD408" s="143"/>
    </row>
    <row r="409" spans="1:82" ht="16.5" customHeight="1" x14ac:dyDescent="0.15">
      <c r="A409" s="35"/>
      <c r="B409" s="35"/>
      <c r="C409" s="35"/>
      <c r="D409" s="35"/>
      <c r="E409" s="35"/>
      <c r="F409" s="35"/>
      <c r="G409" s="35"/>
      <c r="H409" s="34"/>
      <c r="I409" s="36"/>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137"/>
      <c r="BK409" s="143"/>
      <c r="BL409" s="143"/>
      <c r="BM409" s="143"/>
      <c r="BN409" s="143"/>
      <c r="BO409" s="143"/>
      <c r="BP409" s="143"/>
      <c r="BQ409" s="143"/>
      <c r="BR409" s="143"/>
      <c r="BS409" s="143"/>
      <c r="BT409" s="143"/>
      <c r="BU409" s="143"/>
      <c r="BV409" s="143"/>
      <c r="BW409" s="143"/>
      <c r="BX409" s="143"/>
      <c r="BY409" s="143"/>
      <c r="BZ409" s="143"/>
      <c r="CA409" s="143"/>
      <c r="CB409" s="143"/>
      <c r="CC409" s="143"/>
      <c r="CD409" s="143"/>
    </row>
    <row r="410" spans="1:82" ht="16.5" customHeight="1" x14ac:dyDescent="0.15">
      <c r="A410" s="35"/>
      <c r="B410" s="35"/>
      <c r="C410" s="35"/>
      <c r="D410" s="35"/>
      <c r="E410" s="35"/>
      <c r="F410" s="35"/>
      <c r="G410" s="35"/>
      <c r="H410" s="34"/>
      <c r="I410" s="36"/>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137"/>
      <c r="BK410" s="143"/>
      <c r="BL410" s="143"/>
      <c r="BM410" s="143"/>
      <c r="BN410" s="143"/>
      <c r="BO410" s="143"/>
      <c r="BP410" s="143"/>
      <c r="BQ410" s="143"/>
      <c r="BR410" s="143"/>
      <c r="BS410" s="143"/>
      <c r="BT410" s="143"/>
      <c r="BU410" s="143"/>
      <c r="BV410" s="143"/>
      <c r="BW410" s="143"/>
      <c r="BX410" s="143"/>
      <c r="BY410" s="143"/>
      <c r="BZ410" s="143"/>
      <c r="CA410" s="143"/>
      <c r="CB410" s="143"/>
      <c r="CC410" s="143"/>
      <c r="CD410" s="143"/>
    </row>
    <row r="411" spans="1:82" ht="16.5" customHeight="1" x14ac:dyDescent="0.15">
      <c r="A411" s="35"/>
      <c r="B411" s="35"/>
      <c r="C411" s="35"/>
      <c r="D411" s="35"/>
      <c r="E411" s="35"/>
      <c r="F411" s="35"/>
      <c r="G411" s="35"/>
      <c r="H411" s="34"/>
      <c r="I411" s="36"/>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137"/>
      <c r="BK411" s="143"/>
      <c r="BL411" s="143"/>
      <c r="BM411" s="143"/>
      <c r="BN411" s="143"/>
      <c r="BO411" s="143"/>
      <c r="BP411" s="143"/>
      <c r="BQ411" s="143"/>
      <c r="BR411" s="143"/>
      <c r="BS411" s="143"/>
      <c r="BT411" s="143"/>
      <c r="BU411" s="143"/>
      <c r="BV411" s="143"/>
      <c r="BW411" s="143"/>
      <c r="BX411" s="143"/>
      <c r="BY411" s="143"/>
      <c r="BZ411" s="143"/>
      <c r="CA411" s="143"/>
      <c r="CB411" s="143"/>
      <c r="CC411" s="143"/>
      <c r="CD411" s="143"/>
    </row>
    <row r="412" spans="1:82" ht="16.5" customHeight="1" x14ac:dyDescent="0.15">
      <c r="A412" s="35"/>
      <c r="B412" s="35"/>
      <c r="C412" s="35"/>
      <c r="D412" s="35"/>
      <c r="E412" s="35"/>
      <c r="F412" s="35"/>
      <c r="G412" s="35"/>
      <c r="H412" s="34"/>
      <c r="I412" s="36"/>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137"/>
      <c r="BK412" s="143"/>
      <c r="BL412" s="143"/>
      <c r="BM412" s="143"/>
      <c r="BN412" s="143"/>
      <c r="BO412" s="143"/>
      <c r="BP412" s="143"/>
      <c r="BQ412" s="143"/>
      <c r="BR412" s="143"/>
      <c r="BS412" s="143"/>
      <c r="BT412" s="143"/>
      <c r="BU412" s="143"/>
      <c r="BV412" s="143"/>
      <c r="BW412" s="143"/>
      <c r="BX412" s="143"/>
      <c r="BY412" s="143"/>
      <c r="BZ412" s="143"/>
      <c r="CA412" s="143"/>
      <c r="CB412" s="143"/>
      <c r="CC412" s="143"/>
      <c r="CD412" s="143"/>
    </row>
    <row r="413" spans="1:82" ht="16.5" customHeight="1" x14ac:dyDescent="0.15">
      <c r="A413" s="35"/>
      <c r="B413" s="35"/>
      <c r="C413" s="35"/>
      <c r="D413" s="35"/>
      <c r="E413" s="35"/>
      <c r="F413" s="35"/>
      <c r="G413" s="35"/>
      <c r="H413" s="34"/>
      <c r="I413" s="36"/>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137"/>
      <c r="BK413" s="143"/>
      <c r="BL413" s="143"/>
      <c r="BM413" s="143"/>
      <c r="BN413" s="143"/>
      <c r="BO413" s="143"/>
      <c r="BP413" s="143"/>
      <c r="BQ413" s="143"/>
      <c r="BR413" s="143"/>
      <c r="BS413" s="143"/>
      <c r="BT413" s="143"/>
      <c r="BU413" s="143"/>
      <c r="BV413" s="143"/>
      <c r="BW413" s="143"/>
      <c r="BX413" s="143"/>
      <c r="BY413" s="143"/>
      <c r="BZ413" s="143"/>
      <c r="CA413" s="143"/>
      <c r="CB413" s="143"/>
      <c r="CC413" s="143"/>
      <c r="CD413" s="143"/>
    </row>
    <row r="414" spans="1:82" ht="16.5" customHeight="1" x14ac:dyDescent="0.15">
      <c r="A414" s="35"/>
      <c r="B414" s="35"/>
      <c r="C414" s="35"/>
      <c r="D414" s="35"/>
      <c r="E414" s="35"/>
      <c r="F414" s="35"/>
      <c r="G414" s="35"/>
      <c r="H414" s="34"/>
      <c r="I414" s="36"/>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137"/>
      <c r="BK414" s="143"/>
      <c r="BL414" s="143"/>
      <c r="BM414" s="143"/>
      <c r="BN414" s="143"/>
      <c r="BO414" s="143"/>
      <c r="BP414" s="143"/>
      <c r="BQ414" s="143"/>
      <c r="BR414" s="143"/>
      <c r="BS414" s="143"/>
      <c r="BT414" s="143"/>
      <c r="BU414" s="143"/>
      <c r="BV414" s="143"/>
      <c r="BW414" s="143"/>
      <c r="BX414" s="143"/>
      <c r="BY414" s="143"/>
      <c r="BZ414" s="143"/>
      <c r="CA414" s="143"/>
      <c r="CB414" s="143"/>
      <c r="CC414" s="143"/>
      <c r="CD414" s="143"/>
    </row>
    <row r="415" spans="1:82" ht="16.5" customHeight="1" x14ac:dyDescent="0.15">
      <c r="A415" s="35"/>
      <c r="B415" s="35"/>
      <c r="C415" s="35"/>
      <c r="D415" s="35"/>
      <c r="E415" s="35"/>
      <c r="F415" s="35"/>
      <c r="G415" s="35"/>
      <c r="H415" s="34"/>
      <c r="I415" s="36"/>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137"/>
      <c r="BK415" s="143"/>
      <c r="BL415" s="143"/>
      <c r="BM415" s="143"/>
      <c r="BN415" s="143"/>
      <c r="BO415" s="143"/>
      <c r="BP415" s="143"/>
      <c r="BQ415" s="143"/>
      <c r="BR415" s="143"/>
      <c r="BS415" s="143"/>
      <c r="BT415" s="143"/>
      <c r="BU415" s="143"/>
      <c r="BV415" s="143"/>
      <c r="BW415" s="143"/>
      <c r="BX415" s="143"/>
      <c r="BY415" s="143"/>
      <c r="BZ415" s="143"/>
      <c r="CA415" s="143"/>
      <c r="CB415" s="143"/>
      <c r="CC415" s="143"/>
      <c r="CD415" s="143"/>
    </row>
    <row r="416" spans="1:82" ht="16.5" customHeight="1" x14ac:dyDescent="0.15">
      <c r="A416" s="35"/>
      <c r="B416" s="35"/>
      <c r="C416" s="35"/>
      <c r="D416" s="35"/>
      <c r="E416" s="35"/>
      <c r="F416" s="35"/>
      <c r="G416" s="35"/>
      <c r="H416" s="34"/>
      <c r="I416" s="36"/>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137"/>
      <c r="BK416" s="143"/>
      <c r="BL416" s="143"/>
      <c r="BM416" s="143"/>
      <c r="BN416" s="143"/>
      <c r="BO416" s="143"/>
      <c r="BP416" s="143"/>
      <c r="BQ416" s="143"/>
      <c r="BR416" s="143"/>
      <c r="BS416" s="143"/>
      <c r="BT416" s="143"/>
      <c r="BU416" s="143"/>
      <c r="BV416" s="143"/>
      <c r="BW416" s="143"/>
      <c r="BX416" s="143"/>
      <c r="BY416" s="143"/>
      <c r="BZ416" s="143"/>
      <c r="CA416" s="143"/>
      <c r="CB416" s="143"/>
      <c r="CC416" s="143"/>
      <c r="CD416" s="143"/>
    </row>
    <row r="417" spans="1:82" ht="16.5" customHeight="1" x14ac:dyDescent="0.15">
      <c r="A417" s="35"/>
      <c r="B417" s="35"/>
      <c r="C417" s="35"/>
      <c r="D417" s="35"/>
      <c r="E417" s="35"/>
      <c r="F417" s="35"/>
      <c r="G417" s="35"/>
      <c r="H417" s="34"/>
      <c r="I417" s="36"/>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137"/>
      <c r="BK417" s="143"/>
      <c r="BL417" s="143"/>
      <c r="BM417" s="143"/>
      <c r="BN417" s="143"/>
      <c r="BO417" s="143"/>
      <c r="BP417" s="143"/>
      <c r="BQ417" s="143"/>
      <c r="BR417" s="143"/>
      <c r="BS417" s="143"/>
      <c r="BT417" s="143"/>
      <c r="BU417" s="143"/>
      <c r="BV417" s="143"/>
      <c r="BW417" s="143"/>
      <c r="BX417" s="143"/>
      <c r="BY417" s="143"/>
      <c r="BZ417" s="143"/>
      <c r="CA417" s="143"/>
      <c r="CB417" s="143"/>
      <c r="CC417" s="143"/>
      <c r="CD417" s="143"/>
    </row>
    <row r="418" spans="1:82" ht="16.5" customHeight="1" x14ac:dyDescent="0.15">
      <c r="A418" s="35"/>
      <c r="B418" s="35"/>
      <c r="C418" s="35"/>
      <c r="D418" s="35"/>
      <c r="E418" s="35"/>
      <c r="F418" s="35"/>
      <c r="G418" s="35"/>
      <c r="H418" s="34"/>
      <c r="I418" s="36"/>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137"/>
      <c r="BK418" s="143"/>
      <c r="BL418" s="143"/>
      <c r="BM418" s="143"/>
      <c r="BN418" s="143"/>
      <c r="BO418" s="143"/>
      <c r="BP418" s="143"/>
      <c r="BQ418" s="143"/>
      <c r="BR418" s="143"/>
      <c r="BS418" s="143"/>
      <c r="BT418" s="143"/>
      <c r="BU418" s="143"/>
      <c r="BV418" s="143"/>
      <c r="BW418" s="143"/>
      <c r="BX418" s="143"/>
      <c r="BY418" s="143"/>
      <c r="BZ418" s="143"/>
      <c r="CA418" s="143"/>
      <c r="CB418" s="143"/>
      <c r="CC418" s="143"/>
      <c r="CD418" s="143"/>
    </row>
    <row r="419" spans="1:82" ht="16.5" customHeight="1" x14ac:dyDescent="0.15">
      <c r="A419" s="35"/>
      <c r="B419" s="35"/>
      <c r="C419" s="35"/>
      <c r="D419" s="35"/>
      <c r="E419" s="35"/>
      <c r="F419" s="35"/>
      <c r="G419" s="35"/>
      <c r="H419" s="34"/>
      <c r="I419" s="36"/>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137"/>
      <c r="BK419" s="143"/>
      <c r="BL419" s="143"/>
      <c r="BM419" s="143"/>
      <c r="BN419" s="143"/>
      <c r="BO419" s="143"/>
      <c r="BP419" s="143"/>
      <c r="BQ419" s="143"/>
      <c r="BR419" s="143"/>
      <c r="BS419" s="143"/>
      <c r="BT419" s="143"/>
      <c r="BU419" s="143"/>
      <c r="BV419" s="143"/>
      <c r="BW419" s="143"/>
      <c r="BX419" s="143"/>
      <c r="BY419" s="143"/>
      <c r="BZ419" s="143"/>
      <c r="CA419" s="143"/>
      <c r="CB419" s="143"/>
      <c r="CC419" s="143"/>
      <c r="CD419" s="143"/>
    </row>
    <row r="420" spans="1:82" ht="16.5" customHeight="1" x14ac:dyDescent="0.15">
      <c r="A420" s="35"/>
      <c r="B420" s="35"/>
      <c r="C420" s="35"/>
      <c r="D420" s="35"/>
      <c r="E420" s="35"/>
      <c r="F420" s="35"/>
      <c r="G420" s="35"/>
      <c r="H420" s="34"/>
      <c r="I420" s="36"/>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137"/>
      <c r="BK420" s="143"/>
      <c r="BL420" s="143"/>
      <c r="BM420" s="143"/>
      <c r="BN420" s="143"/>
      <c r="BO420" s="143"/>
      <c r="BP420" s="143"/>
      <c r="BQ420" s="143"/>
      <c r="BR420" s="143"/>
      <c r="BS420" s="143"/>
      <c r="BT420" s="143"/>
      <c r="BU420" s="143"/>
      <c r="BV420" s="143"/>
      <c r="BW420" s="143"/>
      <c r="BX420" s="143"/>
      <c r="BY420" s="143"/>
      <c r="BZ420" s="143"/>
      <c r="CA420" s="143"/>
      <c r="CB420" s="143"/>
      <c r="CC420" s="143"/>
      <c r="CD420" s="143"/>
    </row>
    <row r="421" spans="1:82" ht="16.5" customHeight="1" x14ac:dyDescent="0.15">
      <c r="A421" s="35"/>
      <c r="B421" s="35"/>
      <c r="C421" s="35"/>
      <c r="D421" s="35"/>
      <c r="E421" s="35"/>
      <c r="F421" s="35"/>
      <c r="G421" s="35"/>
      <c r="H421" s="34"/>
      <c r="I421" s="36"/>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137"/>
      <c r="BK421" s="143"/>
      <c r="BL421" s="143"/>
      <c r="BM421" s="143"/>
      <c r="BN421" s="143"/>
      <c r="BO421" s="143"/>
      <c r="BP421" s="143"/>
      <c r="BQ421" s="143"/>
      <c r="BR421" s="143"/>
      <c r="BS421" s="143"/>
      <c r="BT421" s="143"/>
      <c r="BU421" s="143"/>
      <c r="BV421" s="143"/>
      <c r="BW421" s="143"/>
      <c r="BX421" s="143"/>
      <c r="BY421" s="143"/>
      <c r="BZ421" s="143"/>
      <c r="CA421" s="143"/>
      <c r="CB421" s="143"/>
      <c r="CC421" s="143"/>
      <c r="CD421" s="143"/>
    </row>
    <row r="422" spans="1:82" ht="16.5" customHeight="1" x14ac:dyDescent="0.15">
      <c r="A422" s="35"/>
      <c r="B422" s="35"/>
      <c r="C422" s="35"/>
      <c r="D422" s="35"/>
      <c r="E422" s="35"/>
      <c r="F422" s="35"/>
      <c r="G422" s="35"/>
      <c r="H422" s="34"/>
      <c r="I422" s="36"/>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137"/>
      <c r="BK422" s="143"/>
      <c r="BL422" s="143"/>
      <c r="BM422" s="143"/>
      <c r="BN422" s="143"/>
      <c r="BO422" s="143"/>
      <c r="BP422" s="143"/>
      <c r="BQ422" s="143"/>
      <c r="BR422" s="143"/>
      <c r="BS422" s="143"/>
      <c r="BT422" s="143"/>
      <c r="BU422" s="143"/>
      <c r="BV422" s="143"/>
      <c r="BW422" s="143"/>
      <c r="BX422" s="143"/>
      <c r="BY422" s="143"/>
      <c r="BZ422" s="143"/>
      <c r="CA422" s="143"/>
      <c r="CB422" s="143"/>
      <c r="CC422" s="143"/>
      <c r="CD422" s="143"/>
    </row>
    <row r="423" spans="1:82" ht="16.5" customHeight="1" x14ac:dyDescent="0.15">
      <c r="A423" s="35"/>
      <c r="B423" s="35"/>
      <c r="C423" s="35"/>
      <c r="D423" s="35"/>
      <c r="E423" s="35"/>
      <c r="F423" s="35"/>
      <c r="G423" s="35"/>
      <c r="H423" s="34"/>
      <c r="I423" s="36"/>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137"/>
      <c r="BK423" s="143"/>
      <c r="BL423" s="143"/>
      <c r="BM423" s="143"/>
      <c r="BN423" s="143"/>
      <c r="BO423" s="143"/>
      <c r="BP423" s="143"/>
      <c r="BQ423" s="143"/>
      <c r="BR423" s="143"/>
      <c r="BS423" s="143"/>
      <c r="BT423" s="143"/>
      <c r="BU423" s="143"/>
      <c r="BV423" s="143"/>
      <c r="BW423" s="143"/>
      <c r="BX423" s="143"/>
      <c r="BY423" s="143"/>
      <c r="BZ423" s="143"/>
      <c r="CA423" s="143"/>
      <c r="CB423" s="143"/>
      <c r="CC423" s="143"/>
      <c r="CD423" s="143"/>
    </row>
    <row r="424" spans="1:82" ht="16.5" customHeight="1" x14ac:dyDescent="0.15">
      <c r="A424" s="35"/>
      <c r="B424" s="35"/>
      <c r="C424" s="35"/>
      <c r="D424" s="35"/>
      <c r="E424" s="35"/>
      <c r="F424" s="35"/>
      <c r="G424" s="35"/>
      <c r="H424" s="34"/>
      <c r="I424" s="36"/>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137"/>
      <c r="BK424" s="143"/>
      <c r="BL424" s="143"/>
      <c r="BM424" s="143"/>
      <c r="BN424" s="143"/>
      <c r="BO424" s="143"/>
      <c r="BP424" s="143"/>
      <c r="BQ424" s="143"/>
      <c r="BR424" s="143"/>
      <c r="BS424" s="143"/>
      <c r="BT424" s="143"/>
      <c r="BU424" s="143"/>
      <c r="BV424" s="143"/>
      <c r="BW424" s="143"/>
      <c r="BX424" s="143"/>
      <c r="BY424" s="143"/>
      <c r="BZ424" s="143"/>
      <c r="CA424" s="143"/>
      <c r="CB424" s="143"/>
      <c r="CC424" s="143"/>
      <c r="CD424" s="143"/>
    </row>
    <row r="425" spans="1:82" ht="16.5" customHeight="1" x14ac:dyDescent="0.15">
      <c r="A425" s="35"/>
      <c r="B425" s="35"/>
      <c r="C425" s="35"/>
      <c r="D425" s="35"/>
      <c r="E425" s="35"/>
      <c r="F425" s="35"/>
      <c r="G425" s="35"/>
      <c r="H425" s="34"/>
      <c r="I425" s="36"/>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137"/>
      <c r="BK425" s="143"/>
      <c r="BL425" s="143"/>
      <c r="BM425" s="143"/>
      <c r="BN425" s="143"/>
      <c r="BO425" s="143"/>
      <c r="BP425" s="143"/>
      <c r="BQ425" s="143"/>
      <c r="BR425" s="143"/>
      <c r="BS425" s="143"/>
      <c r="BT425" s="143"/>
      <c r="BU425" s="143"/>
      <c r="BV425" s="143"/>
      <c r="BW425" s="143"/>
      <c r="BX425" s="143"/>
      <c r="BY425" s="143"/>
      <c r="BZ425" s="143"/>
      <c r="CA425" s="143"/>
      <c r="CB425" s="143"/>
      <c r="CC425" s="143"/>
      <c r="CD425" s="143"/>
    </row>
    <row r="426" spans="1:82" ht="16.5" customHeight="1" x14ac:dyDescent="0.15">
      <c r="A426" s="35"/>
      <c r="B426" s="35"/>
      <c r="C426" s="35"/>
      <c r="D426" s="35"/>
      <c r="E426" s="35"/>
      <c r="F426" s="35"/>
      <c r="G426" s="35"/>
      <c r="H426" s="34"/>
      <c r="I426" s="36"/>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137"/>
      <c r="BK426" s="143"/>
      <c r="BL426" s="143"/>
      <c r="BM426" s="143"/>
      <c r="BN426" s="143"/>
      <c r="BO426" s="143"/>
      <c r="BP426" s="143"/>
      <c r="BQ426" s="143"/>
      <c r="BR426" s="143"/>
      <c r="BS426" s="143"/>
      <c r="BT426" s="143"/>
      <c r="BU426" s="143"/>
      <c r="BV426" s="143"/>
      <c r="BW426" s="143"/>
      <c r="BX426" s="143"/>
      <c r="BY426" s="143"/>
      <c r="BZ426" s="143"/>
      <c r="CA426" s="143"/>
      <c r="CB426" s="143"/>
      <c r="CC426" s="143"/>
      <c r="CD426" s="143"/>
    </row>
    <row r="427" spans="1:82" ht="16.5" customHeight="1" x14ac:dyDescent="0.15">
      <c r="A427" s="35"/>
      <c r="B427" s="35"/>
      <c r="C427" s="35"/>
      <c r="D427" s="35"/>
      <c r="E427" s="35"/>
      <c r="F427" s="35"/>
      <c r="G427" s="35"/>
      <c r="H427" s="34"/>
      <c r="I427" s="36"/>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137"/>
      <c r="BK427" s="143"/>
      <c r="BL427" s="143"/>
      <c r="BM427" s="143"/>
      <c r="BN427" s="143"/>
      <c r="BO427" s="143"/>
      <c r="BP427" s="143"/>
      <c r="BQ427" s="143"/>
      <c r="BR427" s="143"/>
      <c r="BS427" s="143"/>
      <c r="BT427" s="143"/>
      <c r="BU427" s="143"/>
      <c r="BV427" s="143"/>
      <c r="BW427" s="143"/>
      <c r="BX427" s="143"/>
      <c r="BY427" s="143"/>
      <c r="BZ427" s="143"/>
      <c r="CA427" s="143"/>
      <c r="CB427" s="143"/>
      <c r="CC427" s="143"/>
      <c r="CD427" s="143"/>
    </row>
    <row r="428" spans="1:82" ht="16.5" customHeight="1" x14ac:dyDescent="0.15">
      <c r="A428" s="35"/>
      <c r="B428" s="35"/>
      <c r="C428" s="35"/>
      <c r="D428" s="35"/>
      <c r="E428" s="35"/>
      <c r="F428" s="35"/>
      <c r="G428" s="35"/>
      <c r="H428" s="34"/>
      <c r="I428" s="36"/>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137"/>
      <c r="BK428" s="143"/>
      <c r="BL428" s="143"/>
      <c r="BM428" s="143"/>
      <c r="BN428" s="143"/>
      <c r="BO428" s="143"/>
      <c r="BP428" s="143"/>
      <c r="BQ428" s="143"/>
      <c r="BR428" s="143"/>
      <c r="BS428" s="143"/>
      <c r="BT428" s="143"/>
      <c r="BU428" s="143"/>
      <c r="BV428" s="143"/>
      <c r="BW428" s="143"/>
      <c r="BX428" s="143"/>
      <c r="BY428" s="143"/>
      <c r="BZ428" s="143"/>
      <c r="CA428" s="143"/>
      <c r="CB428" s="143"/>
      <c r="CC428" s="143"/>
      <c r="CD428" s="143"/>
    </row>
    <row r="429" spans="1:82" ht="16.5" customHeight="1" x14ac:dyDescent="0.15">
      <c r="A429" s="35"/>
      <c r="B429" s="35"/>
      <c r="C429" s="35"/>
      <c r="D429" s="35"/>
      <c r="E429" s="35"/>
      <c r="F429" s="35"/>
      <c r="G429" s="35"/>
      <c r="H429" s="34"/>
      <c r="I429" s="36"/>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137"/>
      <c r="BK429" s="143"/>
      <c r="BL429" s="143"/>
      <c r="BM429" s="143"/>
      <c r="BN429" s="143"/>
      <c r="BO429" s="143"/>
      <c r="BP429" s="143"/>
      <c r="BQ429" s="143"/>
      <c r="BR429" s="143"/>
      <c r="BS429" s="143"/>
      <c r="BT429" s="143"/>
      <c r="BU429" s="143"/>
      <c r="BV429" s="143"/>
      <c r="BW429" s="143"/>
      <c r="BX429" s="143"/>
      <c r="BY429" s="143"/>
      <c r="BZ429" s="143"/>
      <c r="CA429" s="143"/>
      <c r="CB429" s="143"/>
      <c r="CC429" s="143"/>
      <c r="CD429" s="143"/>
    </row>
    <row r="430" spans="1:82" ht="16.5" customHeight="1" x14ac:dyDescent="0.15">
      <c r="A430" s="35"/>
      <c r="B430" s="35"/>
      <c r="C430" s="35"/>
      <c r="D430" s="35"/>
      <c r="E430" s="35"/>
      <c r="F430" s="35"/>
      <c r="G430" s="35"/>
      <c r="H430" s="34"/>
      <c r="I430" s="36"/>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137"/>
      <c r="BK430" s="143"/>
      <c r="BL430" s="143"/>
      <c r="BM430" s="143"/>
      <c r="BN430" s="143"/>
      <c r="BO430" s="143"/>
      <c r="BP430" s="143"/>
      <c r="BQ430" s="143"/>
      <c r="BR430" s="143"/>
      <c r="BS430" s="143"/>
      <c r="BT430" s="143"/>
      <c r="BU430" s="143"/>
      <c r="BV430" s="143"/>
      <c r="BW430" s="143"/>
      <c r="BX430" s="143"/>
      <c r="BY430" s="143"/>
      <c r="BZ430" s="143"/>
      <c r="CA430" s="143"/>
      <c r="CB430" s="143"/>
      <c r="CC430" s="143"/>
      <c r="CD430" s="143"/>
    </row>
    <row r="431" spans="1:82" ht="16.5" customHeight="1" x14ac:dyDescent="0.15">
      <c r="A431" s="35"/>
      <c r="B431" s="35"/>
      <c r="C431" s="35"/>
      <c r="D431" s="35"/>
      <c r="E431" s="35"/>
      <c r="F431" s="35"/>
      <c r="G431" s="35"/>
      <c r="H431" s="34"/>
      <c r="I431" s="36"/>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137"/>
      <c r="BK431" s="143"/>
      <c r="BL431" s="143"/>
      <c r="BM431" s="143"/>
      <c r="BN431" s="143"/>
      <c r="BO431" s="143"/>
      <c r="BP431" s="143"/>
      <c r="BQ431" s="143"/>
      <c r="BR431" s="143"/>
      <c r="BS431" s="143"/>
      <c r="BT431" s="143"/>
      <c r="BU431" s="143"/>
      <c r="BV431" s="143"/>
      <c r="BW431" s="143"/>
      <c r="BX431" s="143"/>
      <c r="BY431" s="143"/>
      <c r="BZ431" s="143"/>
      <c r="CA431" s="143"/>
      <c r="CB431" s="143"/>
      <c r="CC431" s="143"/>
      <c r="CD431" s="143"/>
    </row>
    <row r="432" spans="1:82" ht="16.5" customHeight="1" x14ac:dyDescent="0.15">
      <c r="A432" s="35"/>
      <c r="B432" s="35"/>
      <c r="C432" s="35"/>
      <c r="D432" s="35"/>
      <c r="E432" s="35"/>
      <c r="F432" s="35"/>
      <c r="G432" s="35"/>
      <c r="H432" s="34"/>
      <c r="I432" s="36"/>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137"/>
      <c r="BK432" s="143"/>
      <c r="BL432" s="143"/>
      <c r="BM432" s="143"/>
      <c r="BN432" s="143"/>
      <c r="BO432" s="143"/>
      <c r="BP432" s="143"/>
      <c r="BQ432" s="143"/>
      <c r="BR432" s="143"/>
      <c r="BS432" s="143"/>
      <c r="BT432" s="143"/>
      <c r="BU432" s="143"/>
      <c r="BV432" s="143"/>
      <c r="BW432" s="143"/>
      <c r="BX432" s="143"/>
      <c r="BY432" s="143"/>
      <c r="BZ432" s="143"/>
      <c r="CA432" s="143"/>
      <c r="CB432" s="143"/>
      <c r="CC432" s="143"/>
      <c r="CD432" s="143"/>
    </row>
    <row r="433" spans="1:82" ht="16.5" customHeight="1" x14ac:dyDescent="0.15">
      <c r="A433" s="35"/>
      <c r="B433" s="35"/>
      <c r="C433" s="35"/>
      <c r="D433" s="35"/>
      <c r="E433" s="35"/>
      <c r="F433" s="35"/>
      <c r="G433" s="35"/>
      <c r="H433" s="34"/>
      <c r="I433" s="36"/>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137"/>
      <c r="BK433" s="143"/>
      <c r="BL433" s="143"/>
      <c r="BM433" s="143"/>
      <c r="BN433" s="143"/>
      <c r="BO433" s="143"/>
      <c r="BP433" s="143"/>
      <c r="BQ433" s="143"/>
      <c r="BR433" s="143"/>
      <c r="BS433" s="143"/>
      <c r="BT433" s="143"/>
      <c r="BU433" s="143"/>
      <c r="BV433" s="143"/>
      <c r="BW433" s="143"/>
      <c r="BX433" s="143"/>
      <c r="BY433" s="143"/>
      <c r="BZ433" s="143"/>
      <c r="CA433" s="143"/>
      <c r="CB433" s="143"/>
      <c r="CC433" s="143"/>
      <c r="CD433" s="143"/>
    </row>
    <row r="434" spans="1:82" ht="16.5" customHeight="1" x14ac:dyDescent="0.15">
      <c r="A434" s="35"/>
      <c r="B434" s="35"/>
      <c r="C434" s="35"/>
      <c r="D434" s="35"/>
      <c r="E434" s="35"/>
      <c r="F434" s="35"/>
      <c r="G434" s="35"/>
      <c r="H434" s="34"/>
      <c r="I434" s="36"/>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137"/>
      <c r="BK434" s="143"/>
      <c r="BL434" s="143"/>
      <c r="BM434" s="143"/>
      <c r="BN434" s="143"/>
      <c r="BO434" s="143"/>
      <c r="BP434" s="143"/>
      <c r="BQ434" s="143"/>
      <c r="BR434" s="143"/>
      <c r="BS434" s="143"/>
      <c r="BT434" s="143"/>
      <c r="BU434" s="143"/>
      <c r="BV434" s="143"/>
      <c r="BW434" s="143"/>
      <c r="BX434" s="143"/>
      <c r="BY434" s="143"/>
      <c r="BZ434" s="143"/>
      <c r="CA434" s="143"/>
      <c r="CB434" s="143"/>
      <c r="CC434" s="143"/>
      <c r="CD434" s="143"/>
    </row>
    <row r="435" spans="1:82" ht="16.5" customHeight="1" x14ac:dyDescent="0.15">
      <c r="A435" s="35"/>
      <c r="B435" s="35"/>
      <c r="C435" s="35"/>
      <c r="D435" s="35"/>
      <c r="E435" s="35"/>
      <c r="F435" s="35"/>
      <c r="G435" s="35"/>
      <c r="H435" s="34"/>
      <c r="I435" s="36"/>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137"/>
      <c r="BK435" s="143"/>
      <c r="BL435" s="143"/>
      <c r="BM435" s="143"/>
      <c r="BN435" s="143"/>
      <c r="BO435" s="143"/>
      <c r="BP435" s="143"/>
      <c r="BQ435" s="143"/>
      <c r="BR435" s="143"/>
      <c r="BS435" s="143"/>
      <c r="BT435" s="143"/>
      <c r="BU435" s="143"/>
      <c r="BV435" s="143"/>
      <c r="BW435" s="143"/>
      <c r="BX435" s="143"/>
      <c r="BY435" s="143"/>
      <c r="BZ435" s="143"/>
      <c r="CA435" s="143"/>
      <c r="CB435" s="143"/>
      <c r="CC435" s="143"/>
      <c r="CD435" s="143"/>
    </row>
    <row r="436" spans="1:82" ht="16.5" customHeight="1" x14ac:dyDescent="0.15">
      <c r="A436" s="35"/>
      <c r="B436" s="35"/>
      <c r="C436" s="35"/>
      <c r="D436" s="35"/>
      <c r="E436" s="35"/>
      <c r="F436" s="35"/>
      <c r="G436" s="35"/>
      <c r="H436" s="34"/>
      <c r="I436" s="36"/>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137"/>
      <c r="BK436" s="143"/>
      <c r="BL436" s="143"/>
      <c r="BM436" s="143"/>
      <c r="BN436" s="143"/>
      <c r="BO436" s="143"/>
      <c r="BP436" s="143"/>
      <c r="BQ436" s="143"/>
      <c r="BR436" s="143"/>
      <c r="BS436" s="143"/>
      <c r="BT436" s="143"/>
      <c r="BU436" s="143"/>
      <c r="BV436" s="143"/>
      <c r="BW436" s="143"/>
      <c r="BX436" s="143"/>
      <c r="BY436" s="143"/>
      <c r="BZ436" s="143"/>
      <c r="CA436" s="143"/>
      <c r="CB436" s="143"/>
      <c r="CC436" s="143"/>
      <c r="CD436" s="143"/>
    </row>
    <row r="437" spans="1:82" ht="16.5" customHeight="1" x14ac:dyDescent="0.15">
      <c r="A437" s="35"/>
      <c r="B437" s="35"/>
      <c r="C437" s="35"/>
      <c r="D437" s="35"/>
      <c r="E437" s="35"/>
      <c r="F437" s="35"/>
      <c r="G437" s="35"/>
      <c r="H437" s="34"/>
      <c r="I437" s="36"/>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137"/>
      <c r="BK437" s="143"/>
      <c r="BL437" s="143"/>
      <c r="BM437" s="143"/>
      <c r="BN437" s="143"/>
      <c r="BO437" s="143"/>
      <c r="BP437" s="143"/>
      <c r="BQ437" s="143"/>
      <c r="BR437" s="143"/>
      <c r="BS437" s="143"/>
      <c r="BT437" s="143"/>
      <c r="BU437" s="143"/>
      <c r="BV437" s="143"/>
      <c r="BW437" s="143"/>
      <c r="BX437" s="143"/>
      <c r="BY437" s="143"/>
      <c r="BZ437" s="143"/>
      <c r="CA437" s="143"/>
      <c r="CB437" s="143"/>
      <c r="CC437" s="143"/>
      <c r="CD437" s="143"/>
    </row>
    <row r="438" spans="1:82" ht="16.5" customHeight="1" x14ac:dyDescent="0.15">
      <c r="A438" s="35"/>
      <c r="B438" s="35"/>
      <c r="C438" s="35"/>
      <c r="D438" s="35"/>
      <c r="E438" s="35"/>
      <c r="F438" s="35"/>
      <c r="G438" s="35"/>
      <c r="H438" s="34"/>
      <c r="I438" s="36"/>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137"/>
      <c r="BK438" s="143"/>
      <c r="BL438" s="143"/>
      <c r="BM438" s="143"/>
      <c r="BN438" s="143"/>
      <c r="BO438" s="143"/>
      <c r="BP438" s="143"/>
      <c r="BQ438" s="143"/>
      <c r="BR438" s="143"/>
      <c r="BS438" s="143"/>
      <c r="BT438" s="143"/>
      <c r="BU438" s="143"/>
      <c r="BV438" s="143"/>
      <c r="BW438" s="143"/>
      <c r="BX438" s="143"/>
      <c r="BY438" s="143"/>
      <c r="BZ438" s="143"/>
      <c r="CA438" s="143"/>
      <c r="CB438" s="143"/>
      <c r="CC438" s="143"/>
      <c r="CD438" s="143"/>
    </row>
    <row r="439" spans="1:82" ht="16.5" customHeight="1" x14ac:dyDescent="0.15">
      <c r="A439" s="35"/>
      <c r="B439" s="35"/>
      <c r="C439" s="35"/>
      <c r="D439" s="35"/>
      <c r="E439" s="35"/>
      <c r="F439" s="35"/>
      <c r="G439" s="35"/>
      <c r="H439" s="34"/>
      <c r="I439" s="36"/>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137"/>
      <c r="BK439" s="143"/>
      <c r="BL439" s="143"/>
      <c r="BM439" s="143"/>
      <c r="BN439" s="143"/>
      <c r="BO439" s="143"/>
      <c r="BP439" s="143"/>
      <c r="BQ439" s="143"/>
      <c r="BR439" s="143"/>
      <c r="BS439" s="143"/>
      <c r="BT439" s="143"/>
      <c r="BU439" s="143"/>
      <c r="BV439" s="143"/>
      <c r="BW439" s="143"/>
      <c r="BX439" s="143"/>
      <c r="BY439" s="143"/>
      <c r="BZ439" s="143"/>
      <c r="CA439" s="143"/>
      <c r="CB439" s="143"/>
      <c r="CC439" s="143"/>
      <c r="CD439" s="143"/>
    </row>
    <row r="440" spans="1:82" ht="16.5" customHeight="1" x14ac:dyDescent="0.15">
      <c r="A440" s="35"/>
      <c r="B440" s="35"/>
      <c r="C440" s="35"/>
      <c r="D440" s="35"/>
      <c r="E440" s="35"/>
      <c r="F440" s="35"/>
      <c r="G440" s="35"/>
      <c r="H440" s="34"/>
      <c r="I440" s="36"/>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137"/>
      <c r="BK440" s="143"/>
      <c r="BL440" s="143"/>
      <c r="BM440" s="143"/>
      <c r="BN440" s="143"/>
      <c r="BO440" s="143"/>
      <c r="BP440" s="143"/>
      <c r="BQ440" s="143"/>
      <c r="BR440" s="143"/>
      <c r="BS440" s="143"/>
      <c r="BT440" s="143"/>
      <c r="BU440" s="143"/>
      <c r="BV440" s="143"/>
      <c r="BW440" s="143"/>
      <c r="BX440" s="143"/>
      <c r="BY440" s="143"/>
      <c r="BZ440" s="143"/>
      <c r="CA440" s="143"/>
      <c r="CB440" s="143"/>
      <c r="CC440" s="143"/>
      <c r="CD440" s="143"/>
    </row>
    <row r="441" spans="1:82" ht="16.5" customHeight="1" x14ac:dyDescent="0.15">
      <c r="A441" s="35"/>
      <c r="B441" s="35"/>
      <c r="C441" s="35"/>
      <c r="D441" s="35"/>
      <c r="E441" s="35"/>
      <c r="F441" s="35"/>
      <c r="G441" s="35"/>
      <c r="H441" s="34"/>
      <c r="I441" s="36"/>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137"/>
      <c r="BK441" s="143"/>
      <c r="BL441" s="143"/>
      <c r="BM441" s="143"/>
      <c r="BN441" s="143"/>
      <c r="BO441" s="143"/>
      <c r="BP441" s="143"/>
      <c r="BQ441" s="143"/>
      <c r="BR441" s="143"/>
      <c r="BS441" s="143"/>
      <c r="BT441" s="143"/>
      <c r="BU441" s="143"/>
      <c r="BV441" s="143"/>
      <c r="BW441" s="143"/>
      <c r="BX441" s="143"/>
      <c r="BY441" s="143"/>
      <c r="BZ441" s="143"/>
      <c r="CA441" s="143"/>
      <c r="CB441" s="143"/>
      <c r="CC441" s="143"/>
      <c r="CD441" s="143"/>
    </row>
    <row r="442" spans="1:82" ht="16.5" customHeight="1" x14ac:dyDescent="0.15">
      <c r="A442" s="35"/>
      <c r="B442" s="35"/>
      <c r="C442" s="35"/>
      <c r="D442" s="35"/>
      <c r="E442" s="35"/>
      <c r="F442" s="35"/>
      <c r="G442" s="35"/>
      <c r="H442" s="34"/>
      <c r="I442" s="36"/>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137"/>
      <c r="BK442" s="143"/>
      <c r="BL442" s="143"/>
      <c r="BM442" s="143"/>
      <c r="BN442" s="143"/>
      <c r="BO442" s="143"/>
      <c r="BP442" s="143"/>
      <c r="BQ442" s="143"/>
      <c r="BR442" s="143"/>
      <c r="BS442" s="143"/>
      <c r="BT442" s="143"/>
      <c r="BU442" s="143"/>
      <c r="BV442" s="143"/>
      <c r="BW442" s="143"/>
      <c r="BX442" s="143"/>
      <c r="BY442" s="143"/>
      <c r="BZ442" s="143"/>
      <c r="CA442" s="143"/>
      <c r="CB442" s="143"/>
      <c r="CC442" s="143"/>
      <c r="CD442" s="143"/>
    </row>
    <row r="443" spans="1:82" ht="16.5" customHeight="1" x14ac:dyDescent="0.15">
      <c r="A443" s="35"/>
      <c r="B443" s="35"/>
      <c r="C443" s="35"/>
      <c r="D443" s="35"/>
      <c r="E443" s="35"/>
      <c r="F443" s="35"/>
      <c r="G443" s="35"/>
      <c r="H443" s="34"/>
      <c r="I443" s="36"/>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137"/>
      <c r="BK443" s="143"/>
      <c r="BL443" s="143"/>
      <c r="BM443" s="143"/>
      <c r="BN443" s="143"/>
      <c r="BO443" s="143"/>
      <c r="BP443" s="143"/>
      <c r="BQ443" s="143"/>
      <c r="BR443" s="143"/>
      <c r="BS443" s="143"/>
      <c r="BT443" s="143"/>
      <c r="BU443" s="143"/>
      <c r="BV443" s="143"/>
      <c r="BW443" s="143"/>
      <c r="BX443" s="143"/>
      <c r="BY443" s="143"/>
      <c r="BZ443" s="143"/>
      <c r="CA443" s="143"/>
      <c r="CB443" s="143"/>
      <c r="CC443" s="143"/>
      <c r="CD443" s="143"/>
    </row>
    <row r="444" spans="1:82" ht="16.5" customHeight="1" x14ac:dyDescent="0.15">
      <c r="A444" s="35"/>
      <c r="B444" s="35"/>
      <c r="C444" s="35"/>
      <c r="D444" s="35"/>
      <c r="E444" s="35"/>
      <c r="F444" s="35"/>
      <c r="G444" s="35"/>
      <c r="H444" s="34"/>
      <c r="I444" s="36"/>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137"/>
      <c r="BK444" s="143"/>
      <c r="BL444" s="143"/>
      <c r="BM444" s="143"/>
      <c r="BN444" s="143"/>
      <c r="BO444" s="143"/>
      <c r="BP444" s="143"/>
      <c r="BQ444" s="143"/>
      <c r="BR444" s="143"/>
      <c r="BS444" s="143"/>
      <c r="BT444" s="143"/>
      <c r="BU444" s="143"/>
      <c r="BV444" s="143"/>
      <c r="BW444" s="143"/>
      <c r="BX444" s="143"/>
      <c r="BY444" s="143"/>
      <c r="BZ444" s="143"/>
      <c r="CA444" s="143"/>
      <c r="CB444" s="143"/>
      <c r="CC444" s="143"/>
      <c r="CD444" s="143"/>
    </row>
    <row r="445" spans="1:82" ht="16.5" customHeight="1" x14ac:dyDescent="0.15">
      <c r="A445" s="35"/>
      <c r="B445" s="35"/>
      <c r="C445" s="35"/>
      <c r="D445" s="35"/>
      <c r="E445" s="35"/>
      <c r="F445" s="35"/>
      <c r="G445" s="35"/>
      <c r="H445" s="34"/>
      <c r="I445" s="36"/>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137"/>
      <c r="BK445" s="143"/>
      <c r="BL445" s="143"/>
      <c r="BM445" s="143"/>
      <c r="BN445" s="143"/>
      <c r="BO445" s="143"/>
      <c r="BP445" s="143"/>
      <c r="BQ445" s="143"/>
      <c r="BR445" s="143"/>
      <c r="BS445" s="143"/>
      <c r="BT445" s="143"/>
      <c r="BU445" s="143"/>
      <c r="BV445" s="143"/>
      <c r="BW445" s="143"/>
      <c r="BX445" s="143"/>
      <c r="BY445" s="143"/>
      <c r="BZ445" s="143"/>
      <c r="CA445" s="143"/>
      <c r="CB445" s="143"/>
      <c r="CC445" s="143"/>
      <c r="CD445" s="143"/>
    </row>
    <row r="446" spans="1:82" ht="16.5" customHeight="1" x14ac:dyDescent="0.15">
      <c r="A446" s="35"/>
      <c r="B446" s="35"/>
      <c r="C446" s="35"/>
      <c r="D446" s="35"/>
      <c r="E446" s="35"/>
      <c r="F446" s="35"/>
      <c r="G446" s="35"/>
      <c r="H446" s="34"/>
      <c r="I446" s="36"/>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137"/>
      <c r="BK446" s="143"/>
      <c r="BL446" s="143"/>
      <c r="BM446" s="143"/>
      <c r="BN446" s="143"/>
      <c r="BO446" s="143"/>
      <c r="BP446" s="143"/>
      <c r="BQ446" s="143"/>
      <c r="BR446" s="143"/>
      <c r="BS446" s="143"/>
      <c r="BT446" s="143"/>
      <c r="BU446" s="143"/>
      <c r="BV446" s="143"/>
      <c r="BW446" s="143"/>
      <c r="BX446" s="143"/>
      <c r="BY446" s="143"/>
      <c r="BZ446" s="143"/>
      <c r="CA446" s="143"/>
      <c r="CB446" s="143"/>
      <c r="CC446" s="143"/>
      <c r="CD446" s="143"/>
    </row>
    <row r="447" spans="1:82" ht="16.5" customHeight="1" x14ac:dyDescent="0.15">
      <c r="A447" s="35"/>
      <c r="B447" s="35"/>
      <c r="C447" s="35"/>
      <c r="D447" s="35"/>
      <c r="E447" s="35"/>
      <c r="F447" s="35"/>
      <c r="G447" s="35"/>
      <c r="H447" s="34"/>
      <c r="I447" s="36"/>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137"/>
      <c r="BK447" s="143"/>
      <c r="BL447" s="143"/>
      <c r="BM447" s="143"/>
      <c r="BN447" s="143"/>
      <c r="BO447" s="143"/>
      <c r="BP447" s="143"/>
      <c r="BQ447" s="143"/>
      <c r="BR447" s="143"/>
      <c r="BS447" s="143"/>
      <c r="BT447" s="143"/>
      <c r="BU447" s="143"/>
      <c r="BV447" s="143"/>
      <c r="BW447" s="143"/>
      <c r="BX447" s="143"/>
      <c r="BY447" s="143"/>
      <c r="BZ447" s="143"/>
      <c r="CA447" s="143"/>
      <c r="CB447" s="143"/>
      <c r="CC447" s="143"/>
      <c r="CD447" s="143"/>
    </row>
    <row r="448" spans="1:82" ht="16.5" customHeight="1" x14ac:dyDescent="0.15">
      <c r="A448" s="35"/>
      <c r="B448" s="35"/>
      <c r="C448" s="35"/>
      <c r="D448" s="35"/>
      <c r="E448" s="35"/>
      <c r="F448" s="35"/>
      <c r="G448" s="35"/>
      <c r="H448" s="34"/>
      <c r="I448" s="36"/>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137"/>
      <c r="BK448" s="143"/>
      <c r="BL448" s="143"/>
      <c r="BM448" s="143"/>
      <c r="BN448" s="143"/>
      <c r="BO448" s="143"/>
      <c r="BP448" s="143"/>
      <c r="BQ448" s="143"/>
      <c r="BR448" s="143"/>
      <c r="BS448" s="143"/>
      <c r="BT448" s="143"/>
      <c r="BU448" s="143"/>
      <c r="BV448" s="143"/>
      <c r="BW448" s="143"/>
      <c r="BX448" s="143"/>
      <c r="BY448" s="143"/>
      <c r="BZ448" s="143"/>
      <c r="CA448" s="143"/>
      <c r="CB448" s="143"/>
      <c r="CC448" s="143"/>
      <c r="CD448" s="143"/>
    </row>
    <row r="449" spans="1:82" ht="16.5" customHeight="1" x14ac:dyDescent="0.15">
      <c r="A449" s="35"/>
      <c r="B449" s="35"/>
      <c r="C449" s="35"/>
      <c r="D449" s="35"/>
      <c r="E449" s="35"/>
      <c r="F449" s="35"/>
      <c r="G449" s="35"/>
      <c r="H449" s="34"/>
      <c r="I449" s="36"/>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137"/>
      <c r="BK449" s="143"/>
      <c r="BL449" s="143"/>
      <c r="BM449" s="143"/>
      <c r="BN449" s="143"/>
      <c r="BO449" s="143"/>
      <c r="BP449" s="143"/>
      <c r="BQ449" s="143"/>
      <c r="BR449" s="143"/>
      <c r="BS449" s="143"/>
      <c r="BT449" s="143"/>
      <c r="BU449" s="143"/>
      <c r="BV449" s="143"/>
      <c r="BW449" s="143"/>
      <c r="BX449" s="143"/>
      <c r="BY449" s="143"/>
      <c r="BZ449" s="143"/>
      <c r="CA449" s="143"/>
      <c r="CB449" s="143"/>
      <c r="CC449" s="143"/>
      <c r="CD449" s="143"/>
    </row>
    <row r="450" spans="1:82" ht="16.5" customHeight="1" x14ac:dyDescent="0.15">
      <c r="A450" s="35"/>
      <c r="B450" s="35"/>
      <c r="C450" s="35"/>
      <c r="D450" s="35"/>
      <c r="E450" s="35"/>
      <c r="F450" s="35"/>
      <c r="G450" s="35"/>
      <c r="H450" s="34"/>
      <c r="I450" s="36"/>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137"/>
      <c r="BK450" s="143"/>
      <c r="BL450" s="143"/>
      <c r="BM450" s="143"/>
      <c r="BN450" s="143"/>
      <c r="BO450" s="143"/>
      <c r="BP450" s="143"/>
      <c r="BQ450" s="143"/>
      <c r="BR450" s="143"/>
      <c r="BS450" s="143"/>
      <c r="BT450" s="143"/>
      <c r="BU450" s="143"/>
      <c r="BV450" s="143"/>
      <c r="BW450" s="143"/>
      <c r="BX450" s="143"/>
      <c r="BY450" s="143"/>
      <c r="BZ450" s="143"/>
      <c r="CA450" s="143"/>
      <c r="CB450" s="143"/>
      <c r="CC450" s="143"/>
      <c r="CD450" s="143"/>
    </row>
    <row r="451" spans="1:82" ht="16.5" customHeight="1" x14ac:dyDescent="0.15">
      <c r="A451" s="35"/>
      <c r="B451" s="35"/>
      <c r="C451" s="35"/>
      <c r="D451" s="35"/>
      <c r="E451" s="35"/>
      <c r="F451" s="35"/>
      <c r="G451" s="35"/>
      <c r="H451" s="34"/>
      <c r="I451" s="36"/>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137"/>
      <c r="BK451" s="143"/>
      <c r="BL451" s="143"/>
      <c r="BM451" s="143"/>
      <c r="BN451" s="143"/>
      <c r="BO451" s="143"/>
      <c r="BP451" s="143"/>
      <c r="BQ451" s="143"/>
      <c r="BR451" s="143"/>
      <c r="BS451" s="143"/>
      <c r="BT451" s="143"/>
      <c r="BU451" s="143"/>
      <c r="BV451" s="143"/>
      <c r="BW451" s="143"/>
      <c r="BX451" s="143"/>
      <c r="BY451" s="143"/>
      <c r="BZ451" s="143"/>
      <c r="CA451" s="143"/>
      <c r="CB451" s="143"/>
      <c r="CC451" s="143"/>
      <c r="CD451" s="143"/>
    </row>
    <row r="452" spans="1:82" ht="16.5" customHeight="1" x14ac:dyDescent="0.15">
      <c r="A452" s="35"/>
      <c r="B452" s="35"/>
      <c r="C452" s="35"/>
      <c r="D452" s="35"/>
      <c r="E452" s="35"/>
      <c r="F452" s="35"/>
      <c r="G452" s="35"/>
      <c r="H452" s="34"/>
      <c r="I452" s="36"/>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137"/>
      <c r="BK452" s="143"/>
      <c r="BL452" s="143"/>
      <c r="BM452" s="143"/>
      <c r="BN452" s="143"/>
      <c r="BO452" s="143"/>
      <c r="BP452" s="143"/>
      <c r="BQ452" s="143"/>
      <c r="BR452" s="143"/>
      <c r="BS452" s="143"/>
      <c r="BT452" s="143"/>
      <c r="BU452" s="143"/>
      <c r="BV452" s="143"/>
      <c r="BW452" s="143"/>
      <c r="BX452" s="143"/>
      <c r="BY452" s="143"/>
      <c r="BZ452" s="143"/>
      <c r="CA452" s="143"/>
      <c r="CB452" s="143"/>
      <c r="CC452" s="143"/>
      <c r="CD452" s="143"/>
    </row>
    <row r="453" spans="1:82" ht="16.5" customHeight="1" x14ac:dyDescent="0.15">
      <c r="A453" s="35"/>
      <c r="B453" s="35"/>
      <c r="C453" s="35"/>
      <c r="D453" s="35"/>
      <c r="E453" s="35"/>
      <c r="F453" s="35"/>
      <c r="G453" s="35"/>
      <c r="H453" s="34"/>
      <c r="I453" s="36"/>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137"/>
      <c r="BK453" s="143"/>
      <c r="BL453" s="143"/>
      <c r="BM453" s="143"/>
      <c r="BN453" s="143"/>
      <c r="BO453" s="143"/>
      <c r="BP453" s="143"/>
      <c r="BQ453" s="143"/>
      <c r="BR453" s="143"/>
      <c r="BS453" s="143"/>
      <c r="BT453" s="143"/>
      <c r="BU453" s="143"/>
      <c r="BV453" s="143"/>
      <c r="BW453" s="143"/>
      <c r="BX453" s="143"/>
      <c r="BY453" s="143"/>
      <c r="BZ453" s="143"/>
      <c r="CA453" s="143"/>
      <c r="CB453" s="143"/>
      <c r="CC453" s="143"/>
      <c r="CD453" s="143"/>
    </row>
    <row r="454" spans="1:82" ht="16.5" customHeight="1" x14ac:dyDescent="0.15">
      <c r="A454" s="35"/>
      <c r="B454" s="35"/>
      <c r="C454" s="35"/>
      <c r="D454" s="35"/>
      <c r="E454" s="35"/>
      <c r="F454" s="35"/>
      <c r="G454" s="35"/>
      <c r="H454" s="34"/>
      <c r="I454" s="36"/>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137"/>
      <c r="BK454" s="143"/>
      <c r="BL454" s="143"/>
      <c r="BM454" s="143"/>
      <c r="BN454" s="143"/>
      <c r="BO454" s="143"/>
      <c r="BP454" s="143"/>
      <c r="BQ454" s="143"/>
      <c r="BR454" s="143"/>
      <c r="BS454" s="143"/>
      <c r="BT454" s="143"/>
      <c r="BU454" s="143"/>
      <c r="BV454" s="143"/>
      <c r="BW454" s="143"/>
      <c r="BX454" s="143"/>
      <c r="BY454" s="143"/>
      <c r="BZ454" s="143"/>
      <c r="CA454" s="143"/>
      <c r="CB454" s="143"/>
      <c r="CC454" s="143"/>
      <c r="CD454" s="143"/>
    </row>
    <row r="455" spans="1:82" ht="16.5" customHeight="1" x14ac:dyDescent="0.15">
      <c r="A455" s="35"/>
      <c r="B455" s="35"/>
      <c r="C455" s="35"/>
      <c r="D455" s="35"/>
      <c r="E455" s="35"/>
      <c r="F455" s="35"/>
      <c r="G455" s="35"/>
      <c r="H455" s="34"/>
      <c r="I455" s="36"/>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137"/>
      <c r="BK455" s="143"/>
      <c r="BL455" s="143"/>
      <c r="BM455" s="143"/>
      <c r="BN455" s="143"/>
      <c r="BO455" s="143"/>
      <c r="BP455" s="143"/>
      <c r="BQ455" s="143"/>
      <c r="BR455" s="143"/>
      <c r="BS455" s="143"/>
      <c r="BT455" s="143"/>
      <c r="BU455" s="143"/>
      <c r="BV455" s="143"/>
      <c r="BW455" s="143"/>
      <c r="BX455" s="143"/>
      <c r="BY455" s="143"/>
      <c r="BZ455" s="143"/>
      <c r="CA455" s="143"/>
      <c r="CB455" s="143"/>
      <c r="CC455" s="143"/>
      <c r="CD455" s="143"/>
    </row>
    <row r="456" spans="1:82" ht="16.5" customHeight="1" x14ac:dyDescent="0.15">
      <c r="A456" s="35"/>
      <c r="B456" s="35"/>
      <c r="C456" s="35"/>
      <c r="D456" s="35"/>
      <c r="E456" s="35"/>
      <c r="F456" s="35"/>
      <c r="G456" s="35"/>
      <c r="H456" s="34"/>
      <c r="I456" s="36"/>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137"/>
      <c r="BK456" s="143"/>
      <c r="BL456" s="143"/>
      <c r="BM456" s="143"/>
      <c r="BN456" s="143"/>
      <c r="BO456" s="143"/>
      <c r="BP456" s="143"/>
      <c r="BQ456" s="143"/>
      <c r="BR456" s="143"/>
      <c r="BS456" s="143"/>
      <c r="BT456" s="143"/>
      <c r="BU456" s="143"/>
      <c r="BV456" s="143"/>
      <c r="BW456" s="143"/>
      <c r="BX456" s="143"/>
      <c r="BY456" s="143"/>
      <c r="BZ456" s="143"/>
      <c r="CA456" s="143"/>
      <c r="CB456" s="143"/>
      <c r="CC456" s="143"/>
      <c r="CD456" s="143"/>
    </row>
    <row r="457" spans="1:82" ht="16.5" customHeight="1" x14ac:dyDescent="0.15">
      <c r="A457" s="35"/>
      <c r="B457" s="35"/>
      <c r="C457" s="35"/>
      <c r="D457" s="35"/>
      <c r="E457" s="35"/>
      <c r="F457" s="35"/>
      <c r="G457" s="35"/>
      <c r="H457" s="34"/>
      <c r="I457" s="36"/>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137"/>
      <c r="BK457" s="143"/>
      <c r="BL457" s="143"/>
      <c r="BM457" s="143"/>
      <c r="BN457" s="143"/>
      <c r="BO457" s="143"/>
      <c r="BP457" s="143"/>
      <c r="BQ457" s="143"/>
      <c r="BR457" s="143"/>
      <c r="BS457" s="143"/>
      <c r="BT457" s="143"/>
      <c r="BU457" s="143"/>
      <c r="BV457" s="143"/>
      <c r="BW457" s="143"/>
      <c r="BX457" s="143"/>
      <c r="BY457" s="143"/>
      <c r="BZ457" s="143"/>
      <c r="CA457" s="143"/>
      <c r="CB457" s="143"/>
      <c r="CC457" s="143"/>
      <c r="CD457" s="143"/>
    </row>
    <row r="458" spans="1:82" ht="16.5" customHeight="1" x14ac:dyDescent="0.15">
      <c r="A458" s="35"/>
      <c r="B458" s="35"/>
      <c r="C458" s="35"/>
      <c r="D458" s="35"/>
      <c r="E458" s="35"/>
      <c r="F458" s="35"/>
      <c r="G458" s="35"/>
      <c r="H458" s="34"/>
      <c r="I458" s="36"/>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137"/>
      <c r="BK458" s="143"/>
      <c r="BL458" s="143"/>
      <c r="BM458" s="143"/>
      <c r="BN458" s="143"/>
      <c r="BO458" s="143"/>
      <c r="BP458" s="143"/>
      <c r="BQ458" s="143"/>
      <c r="BR458" s="143"/>
      <c r="BS458" s="143"/>
      <c r="BT458" s="143"/>
      <c r="BU458" s="143"/>
      <c r="BV458" s="143"/>
      <c r="BW458" s="143"/>
      <c r="BX458" s="143"/>
      <c r="BY458" s="143"/>
      <c r="BZ458" s="143"/>
      <c r="CA458" s="143"/>
      <c r="CB458" s="143"/>
      <c r="CC458" s="143"/>
      <c r="CD458" s="143"/>
    </row>
    <row r="459" spans="1:82" ht="16.5" customHeight="1" x14ac:dyDescent="0.15">
      <c r="A459" s="35"/>
      <c r="B459" s="35"/>
      <c r="C459" s="35"/>
      <c r="D459" s="35"/>
      <c r="E459" s="35"/>
      <c r="F459" s="35"/>
      <c r="G459" s="35"/>
      <c r="H459" s="34"/>
      <c r="I459" s="36"/>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137"/>
      <c r="BK459" s="143"/>
      <c r="BL459" s="143"/>
      <c r="BM459" s="143"/>
      <c r="BN459" s="143"/>
      <c r="BO459" s="143"/>
      <c r="BP459" s="143"/>
      <c r="BQ459" s="143"/>
      <c r="BR459" s="143"/>
      <c r="BS459" s="143"/>
      <c r="BT459" s="143"/>
      <c r="BU459" s="143"/>
      <c r="BV459" s="143"/>
      <c r="BW459" s="143"/>
      <c r="BX459" s="143"/>
      <c r="BY459" s="143"/>
      <c r="BZ459" s="143"/>
      <c r="CA459" s="143"/>
      <c r="CB459" s="143"/>
      <c r="CC459" s="143"/>
      <c r="CD459" s="143"/>
    </row>
    <row r="460" spans="1:82" ht="16.5" customHeight="1" x14ac:dyDescent="0.15">
      <c r="A460" s="35"/>
      <c r="B460" s="35"/>
      <c r="C460" s="35"/>
      <c r="D460" s="35"/>
      <c r="E460" s="35"/>
      <c r="F460" s="35"/>
      <c r="G460" s="35"/>
      <c r="H460" s="34"/>
      <c r="I460" s="36"/>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137"/>
      <c r="BK460" s="143"/>
      <c r="BL460" s="143"/>
      <c r="BM460" s="143"/>
      <c r="BN460" s="143"/>
      <c r="BO460" s="143"/>
      <c r="BP460" s="143"/>
      <c r="BQ460" s="143"/>
      <c r="BR460" s="143"/>
      <c r="BS460" s="143"/>
      <c r="BT460" s="143"/>
      <c r="BU460" s="143"/>
      <c r="BV460" s="143"/>
      <c r="BW460" s="143"/>
      <c r="BX460" s="143"/>
      <c r="BY460" s="143"/>
      <c r="BZ460" s="143"/>
      <c r="CA460" s="143"/>
      <c r="CB460" s="143"/>
      <c r="CC460" s="143"/>
      <c r="CD460" s="143"/>
    </row>
    <row r="461" spans="1:82" ht="16.5" customHeight="1" x14ac:dyDescent="0.15">
      <c r="A461" s="35"/>
      <c r="B461" s="35"/>
      <c r="C461" s="35"/>
      <c r="D461" s="35"/>
      <c r="E461" s="35"/>
      <c r="F461" s="35"/>
      <c r="G461" s="35"/>
      <c r="H461" s="34"/>
      <c r="I461" s="36"/>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137"/>
      <c r="BK461" s="143"/>
      <c r="BL461" s="143"/>
      <c r="BM461" s="143"/>
      <c r="BN461" s="143"/>
      <c r="BO461" s="143"/>
      <c r="BP461" s="143"/>
      <c r="BQ461" s="143"/>
      <c r="BR461" s="143"/>
      <c r="BS461" s="143"/>
      <c r="BT461" s="143"/>
      <c r="BU461" s="143"/>
      <c r="BV461" s="143"/>
      <c r="BW461" s="143"/>
      <c r="BX461" s="143"/>
      <c r="BY461" s="143"/>
      <c r="BZ461" s="143"/>
      <c r="CA461" s="143"/>
      <c r="CB461" s="143"/>
      <c r="CC461" s="143"/>
      <c r="CD461" s="143"/>
    </row>
    <row r="462" spans="1:82" ht="16.5" customHeight="1" x14ac:dyDescent="0.15">
      <c r="A462" s="35"/>
      <c r="B462" s="35"/>
      <c r="C462" s="35"/>
      <c r="D462" s="35"/>
      <c r="E462" s="35"/>
      <c r="F462" s="35"/>
      <c r="G462" s="35"/>
      <c r="H462" s="34"/>
      <c r="I462" s="36"/>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137"/>
      <c r="BK462" s="143"/>
      <c r="BL462" s="143"/>
      <c r="BM462" s="143"/>
      <c r="BN462" s="143"/>
      <c r="BO462" s="143"/>
      <c r="BP462" s="143"/>
      <c r="BQ462" s="143"/>
      <c r="BR462" s="143"/>
      <c r="BS462" s="143"/>
      <c r="BT462" s="143"/>
      <c r="BU462" s="143"/>
      <c r="BV462" s="143"/>
      <c r="BW462" s="143"/>
      <c r="BX462" s="143"/>
      <c r="BY462" s="143"/>
      <c r="BZ462" s="143"/>
      <c r="CA462" s="143"/>
      <c r="CB462" s="143"/>
      <c r="CC462" s="143"/>
      <c r="CD462" s="143"/>
    </row>
    <row r="463" spans="1:82" ht="16.5" customHeight="1" x14ac:dyDescent="0.15">
      <c r="A463" s="35"/>
      <c r="B463" s="35"/>
      <c r="C463" s="35"/>
      <c r="D463" s="35"/>
      <c r="E463" s="35"/>
      <c r="F463" s="35"/>
      <c r="G463" s="35"/>
      <c r="H463" s="34"/>
      <c r="I463" s="36"/>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137"/>
      <c r="BK463" s="143"/>
      <c r="BL463" s="143"/>
      <c r="BM463" s="143"/>
      <c r="BN463" s="143"/>
      <c r="BO463" s="143"/>
      <c r="BP463" s="143"/>
      <c r="BQ463" s="143"/>
      <c r="BR463" s="143"/>
      <c r="BS463" s="143"/>
      <c r="BT463" s="143"/>
      <c r="BU463" s="143"/>
      <c r="BV463" s="143"/>
      <c r="BW463" s="143"/>
      <c r="BX463" s="143"/>
      <c r="BY463" s="143"/>
      <c r="BZ463" s="143"/>
      <c r="CA463" s="143"/>
      <c r="CB463" s="143"/>
      <c r="CC463" s="143"/>
      <c r="CD463" s="143"/>
    </row>
    <row r="464" spans="1:82" ht="16.5" customHeight="1" x14ac:dyDescent="0.15">
      <c r="A464" s="35"/>
      <c r="B464" s="35"/>
      <c r="C464" s="35"/>
      <c r="D464" s="35"/>
      <c r="E464" s="35"/>
      <c r="F464" s="35"/>
      <c r="G464" s="35"/>
      <c r="H464" s="34"/>
      <c r="I464" s="36"/>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137"/>
      <c r="BK464" s="143"/>
      <c r="BL464" s="143"/>
      <c r="BM464" s="143"/>
      <c r="BN464" s="143"/>
      <c r="BO464" s="143"/>
      <c r="BP464" s="143"/>
      <c r="BQ464" s="143"/>
      <c r="BR464" s="143"/>
      <c r="BS464" s="143"/>
      <c r="BT464" s="143"/>
      <c r="BU464" s="143"/>
      <c r="BV464" s="143"/>
      <c r="BW464" s="143"/>
      <c r="BX464" s="143"/>
      <c r="BY464" s="143"/>
      <c r="BZ464" s="143"/>
      <c r="CA464" s="143"/>
      <c r="CB464" s="143"/>
      <c r="CC464" s="143"/>
      <c r="CD464" s="143"/>
    </row>
    <row r="465" spans="1:82" ht="16.5" customHeight="1" x14ac:dyDescent="0.15">
      <c r="A465" s="35"/>
      <c r="B465" s="35"/>
      <c r="C465" s="35"/>
      <c r="D465" s="35"/>
      <c r="E465" s="35"/>
      <c r="F465" s="35"/>
      <c r="G465" s="35"/>
      <c r="H465" s="34"/>
      <c r="I465" s="36"/>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137"/>
      <c r="BK465" s="143"/>
      <c r="BL465" s="143"/>
      <c r="BM465" s="143"/>
      <c r="BN465" s="143"/>
      <c r="BO465" s="143"/>
      <c r="BP465" s="143"/>
      <c r="BQ465" s="143"/>
      <c r="BR465" s="143"/>
      <c r="BS465" s="143"/>
      <c r="BT465" s="143"/>
      <c r="BU465" s="143"/>
      <c r="BV465" s="143"/>
      <c r="BW465" s="143"/>
      <c r="BX465" s="143"/>
      <c r="BY465" s="143"/>
      <c r="BZ465" s="143"/>
      <c r="CA465" s="143"/>
      <c r="CB465" s="143"/>
      <c r="CC465" s="143"/>
      <c r="CD465" s="143"/>
    </row>
    <row r="466" spans="1:82" ht="16.5" customHeight="1" x14ac:dyDescent="0.15">
      <c r="A466" s="35"/>
      <c r="B466" s="35"/>
      <c r="C466" s="35"/>
      <c r="D466" s="35"/>
      <c r="E466" s="35"/>
      <c r="F466" s="35"/>
      <c r="G466" s="35"/>
      <c r="H466" s="34"/>
      <c r="I466" s="36"/>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137"/>
      <c r="BK466" s="143"/>
      <c r="BL466" s="143"/>
      <c r="BM466" s="143"/>
      <c r="BN466" s="143"/>
      <c r="BO466" s="143"/>
      <c r="BP466" s="143"/>
      <c r="BQ466" s="143"/>
      <c r="BR466" s="143"/>
      <c r="BS466" s="143"/>
      <c r="BT466" s="143"/>
      <c r="BU466" s="143"/>
      <c r="BV466" s="143"/>
      <c r="BW466" s="143"/>
      <c r="BX466" s="143"/>
      <c r="BY466" s="143"/>
      <c r="BZ466" s="143"/>
      <c r="CA466" s="143"/>
      <c r="CB466" s="143"/>
      <c r="CC466" s="143"/>
      <c r="CD466" s="143"/>
    </row>
    <row r="467" spans="1:82" ht="16.5" customHeight="1" x14ac:dyDescent="0.15">
      <c r="A467" s="35"/>
      <c r="B467" s="35"/>
      <c r="C467" s="35"/>
      <c r="D467" s="35"/>
      <c r="E467" s="35"/>
      <c r="F467" s="35"/>
      <c r="G467" s="35"/>
      <c r="H467" s="34"/>
      <c r="I467" s="36"/>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137"/>
      <c r="BK467" s="143"/>
      <c r="BL467" s="143"/>
      <c r="BM467" s="143"/>
      <c r="BN467" s="143"/>
      <c r="BO467" s="143"/>
      <c r="BP467" s="143"/>
      <c r="BQ467" s="143"/>
      <c r="BR467" s="143"/>
      <c r="BS467" s="143"/>
      <c r="BT467" s="143"/>
      <c r="BU467" s="143"/>
      <c r="BV467" s="143"/>
      <c r="BW467" s="143"/>
      <c r="BX467" s="143"/>
      <c r="BY467" s="143"/>
      <c r="BZ467" s="143"/>
      <c r="CA467" s="143"/>
      <c r="CB467" s="143"/>
      <c r="CC467" s="143"/>
      <c r="CD467" s="143"/>
    </row>
    <row r="468" spans="1:82" ht="16.5" customHeight="1" x14ac:dyDescent="0.15">
      <c r="A468" s="35"/>
      <c r="B468" s="35"/>
      <c r="C468" s="35"/>
      <c r="D468" s="35"/>
      <c r="E468" s="35"/>
      <c r="F468" s="35"/>
      <c r="G468" s="35"/>
      <c r="H468" s="34"/>
      <c r="I468" s="36"/>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137"/>
      <c r="BK468" s="143"/>
      <c r="BL468" s="143"/>
      <c r="BM468" s="143"/>
      <c r="BN468" s="143"/>
      <c r="BO468" s="143"/>
      <c r="BP468" s="143"/>
      <c r="BQ468" s="143"/>
      <c r="BR468" s="143"/>
      <c r="BS468" s="143"/>
      <c r="BT468" s="143"/>
      <c r="BU468" s="143"/>
      <c r="BV468" s="143"/>
      <c r="BW468" s="143"/>
      <c r="BX468" s="143"/>
      <c r="BY468" s="143"/>
      <c r="BZ468" s="143"/>
      <c r="CA468" s="143"/>
      <c r="CB468" s="143"/>
      <c r="CC468" s="143"/>
      <c r="CD468" s="143"/>
    </row>
    <row r="469" spans="1:82" ht="16.5" customHeight="1" x14ac:dyDescent="0.15">
      <c r="A469" s="35"/>
      <c r="B469" s="35"/>
      <c r="C469" s="35"/>
      <c r="D469" s="35"/>
      <c r="E469" s="35"/>
      <c r="F469" s="35"/>
      <c r="G469" s="35"/>
      <c r="H469" s="34"/>
      <c r="I469" s="36"/>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137"/>
      <c r="BK469" s="143"/>
      <c r="BL469" s="143"/>
      <c r="BM469" s="143"/>
      <c r="BN469" s="143"/>
      <c r="BO469" s="143"/>
      <c r="BP469" s="143"/>
      <c r="BQ469" s="143"/>
      <c r="BR469" s="143"/>
      <c r="BS469" s="143"/>
      <c r="BT469" s="143"/>
      <c r="BU469" s="143"/>
      <c r="BV469" s="143"/>
      <c r="BW469" s="143"/>
      <c r="BX469" s="143"/>
      <c r="BY469" s="143"/>
      <c r="BZ469" s="143"/>
      <c r="CA469" s="143"/>
      <c r="CB469" s="143"/>
      <c r="CC469" s="143"/>
      <c r="CD469" s="143"/>
    </row>
    <row r="470" spans="1:82" ht="16.5" customHeight="1" x14ac:dyDescent="0.15">
      <c r="A470" s="35"/>
      <c r="B470" s="35"/>
      <c r="C470" s="35"/>
      <c r="D470" s="35"/>
      <c r="E470" s="35"/>
      <c r="F470" s="35"/>
      <c r="G470" s="35"/>
      <c r="H470" s="34"/>
      <c r="I470" s="36"/>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137"/>
      <c r="BK470" s="143"/>
      <c r="BL470" s="143"/>
      <c r="BM470" s="143"/>
      <c r="BN470" s="143"/>
      <c r="BO470" s="143"/>
      <c r="BP470" s="143"/>
      <c r="BQ470" s="143"/>
      <c r="BR470" s="143"/>
      <c r="BS470" s="143"/>
      <c r="BT470" s="143"/>
      <c r="BU470" s="143"/>
      <c r="BV470" s="143"/>
      <c r="BW470" s="143"/>
      <c r="BX470" s="143"/>
      <c r="BY470" s="143"/>
      <c r="BZ470" s="143"/>
      <c r="CA470" s="143"/>
      <c r="CB470" s="143"/>
      <c r="CC470" s="143"/>
      <c r="CD470" s="143"/>
    </row>
    <row r="471" spans="1:82" ht="16.5" customHeight="1" x14ac:dyDescent="0.15">
      <c r="A471" s="35"/>
      <c r="B471" s="35"/>
      <c r="C471" s="35"/>
      <c r="D471" s="35"/>
      <c r="E471" s="35"/>
      <c r="F471" s="35"/>
      <c r="G471" s="35"/>
      <c r="H471" s="34"/>
      <c r="I471" s="36"/>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137"/>
      <c r="BK471" s="143"/>
      <c r="BL471" s="143"/>
      <c r="BM471" s="143"/>
      <c r="BN471" s="143"/>
      <c r="BO471" s="143"/>
      <c r="BP471" s="143"/>
      <c r="BQ471" s="143"/>
      <c r="BR471" s="143"/>
      <c r="BS471" s="143"/>
      <c r="BT471" s="143"/>
      <c r="BU471" s="143"/>
      <c r="BV471" s="143"/>
      <c r="BW471" s="143"/>
      <c r="BX471" s="143"/>
      <c r="BY471" s="143"/>
      <c r="BZ471" s="143"/>
      <c r="CA471" s="143"/>
      <c r="CB471" s="143"/>
      <c r="CC471" s="143"/>
      <c r="CD471" s="143"/>
    </row>
    <row r="472" spans="1:82" ht="16.5" customHeight="1" x14ac:dyDescent="0.15">
      <c r="A472" s="35"/>
      <c r="B472" s="35"/>
      <c r="C472" s="35"/>
      <c r="D472" s="35"/>
      <c r="E472" s="35"/>
      <c r="F472" s="35"/>
      <c r="G472" s="35"/>
      <c r="H472" s="34"/>
      <c r="I472" s="36"/>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137"/>
      <c r="BK472" s="143"/>
      <c r="BL472" s="143"/>
      <c r="BM472" s="143"/>
      <c r="BN472" s="143"/>
      <c r="BO472" s="143"/>
      <c r="BP472" s="143"/>
      <c r="BQ472" s="143"/>
      <c r="BR472" s="143"/>
      <c r="BS472" s="143"/>
      <c r="BT472" s="143"/>
      <c r="BU472" s="143"/>
      <c r="BV472" s="143"/>
      <c r="BW472" s="143"/>
      <c r="BX472" s="143"/>
      <c r="BY472" s="143"/>
      <c r="BZ472" s="143"/>
      <c r="CA472" s="143"/>
      <c r="CB472" s="143"/>
      <c r="CC472" s="143"/>
      <c r="CD472" s="143"/>
    </row>
    <row r="473" spans="1:82" ht="16.5" customHeight="1" x14ac:dyDescent="0.15">
      <c r="A473" s="35"/>
      <c r="B473" s="35"/>
      <c r="C473" s="35"/>
      <c r="D473" s="35"/>
      <c r="E473" s="35"/>
      <c r="F473" s="35"/>
      <c r="G473" s="35"/>
      <c r="H473" s="34"/>
      <c r="I473" s="36"/>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137"/>
      <c r="BK473" s="143"/>
      <c r="BL473" s="143"/>
      <c r="BM473" s="143"/>
      <c r="BN473" s="143"/>
      <c r="BO473" s="143"/>
      <c r="BP473" s="143"/>
      <c r="BQ473" s="143"/>
      <c r="BR473" s="143"/>
      <c r="BS473" s="143"/>
      <c r="BT473" s="143"/>
      <c r="BU473" s="143"/>
      <c r="BV473" s="143"/>
      <c r="BW473" s="143"/>
      <c r="BX473" s="143"/>
      <c r="BY473" s="143"/>
      <c r="BZ473" s="143"/>
      <c r="CA473" s="143"/>
      <c r="CB473" s="143"/>
      <c r="CC473" s="143"/>
      <c r="CD473" s="143"/>
    </row>
    <row r="474" spans="1:82" ht="16.5" customHeight="1" x14ac:dyDescent="0.15">
      <c r="A474" s="35"/>
      <c r="B474" s="35"/>
      <c r="C474" s="35"/>
      <c r="D474" s="35"/>
      <c r="E474" s="35"/>
      <c r="F474" s="35"/>
      <c r="G474" s="35"/>
      <c r="H474" s="34"/>
      <c r="I474" s="36"/>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137"/>
      <c r="BK474" s="143"/>
      <c r="BL474" s="143"/>
      <c r="BM474" s="143"/>
      <c r="BN474" s="143"/>
      <c r="BO474" s="143"/>
      <c r="BP474" s="143"/>
      <c r="BQ474" s="143"/>
      <c r="BR474" s="143"/>
      <c r="BS474" s="143"/>
      <c r="BT474" s="143"/>
      <c r="BU474" s="143"/>
      <c r="BV474" s="143"/>
      <c r="BW474" s="143"/>
      <c r="BX474" s="143"/>
      <c r="BY474" s="143"/>
      <c r="BZ474" s="143"/>
      <c r="CA474" s="143"/>
      <c r="CB474" s="143"/>
      <c r="CC474" s="143"/>
      <c r="CD474" s="143"/>
    </row>
    <row r="475" spans="1:82" ht="16.5" customHeight="1" x14ac:dyDescent="0.15">
      <c r="A475" s="35"/>
      <c r="B475" s="35"/>
      <c r="C475" s="35"/>
      <c r="D475" s="35"/>
      <c r="E475" s="35"/>
      <c r="F475" s="35"/>
      <c r="G475" s="35"/>
      <c r="H475" s="34"/>
      <c r="I475" s="36"/>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137"/>
      <c r="BK475" s="143"/>
      <c r="BL475" s="143"/>
      <c r="BM475" s="143"/>
      <c r="BN475" s="143"/>
      <c r="BO475" s="143"/>
      <c r="BP475" s="143"/>
      <c r="BQ475" s="143"/>
      <c r="BR475" s="143"/>
      <c r="BS475" s="143"/>
      <c r="BT475" s="143"/>
      <c r="BU475" s="143"/>
      <c r="BV475" s="143"/>
      <c r="BW475" s="143"/>
      <c r="BX475" s="143"/>
      <c r="BY475" s="143"/>
      <c r="BZ475" s="143"/>
      <c r="CA475" s="143"/>
      <c r="CB475" s="143"/>
      <c r="CC475" s="143"/>
      <c r="CD475" s="143"/>
    </row>
    <row r="476" spans="1:82" ht="16.5" customHeight="1" x14ac:dyDescent="0.15">
      <c r="A476" s="35"/>
      <c r="B476" s="35"/>
      <c r="C476" s="35"/>
      <c r="D476" s="35"/>
      <c r="E476" s="35"/>
      <c r="F476" s="35"/>
      <c r="G476" s="35"/>
      <c r="H476" s="34"/>
      <c r="I476" s="36"/>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137"/>
      <c r="BK476" s="143"/>
      <c r="BL476" s="143"/>
      <c r="BM476" s="143"/>
      <c r="BN476" s="143"/>
      <c r="BO476" s="143"/>
      <c r="BP476" s="143"/>
      <c r="BQ476" s="143"/>
      <c r="BR476" s="143"/>
      <c r="BS476" s="143"/>
      <c r="BT476" s="143"/>
      <c r="BU476" s="143"/>
      <c r="BV476" s="143"/>
      <c r="BW476" s="143"/>
      <c r="BX476" s="143"/>
      <c r="BY476" s="143"/>
      <c r="BZ476" s="143"/>
      <c r="CA476" s="143"/>
      <c r="CB476" s="143"/>
      <c r="CC476" s="143"/>
      <c r="CD476" s="143"/>
    </row>
    <row r="477" spans="1:82" ht="16.5" customHeight="1" x14ac:dyDescent="0.15">
      <c r="A477" s="35"/>
      <c r="B477" s="35"/>
      <c r="C477" s="35"/>
      <c r="D477" s="35"/>
      <c r="E477" s="35"/>
      <c r="F477" s="35"/>
      <c r="G477" s="35"/>
      <c r="H477" s="34"/>
      <c r="I477" s="36"/>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137"/>
      <c r="BK477" s="143"/>
      <c r="BL477" s="143"/>
      <c r="BM477" s="143"/>
      <c r="BN477" s="143"/>
      <c r="BO477" s="143"/>
      <c r="BP477" s="143"/>
      <c r="BQ477" s="143"/>
      <c r="BR477" s="143"/>
      <c r="BS477" s="143"/>
      <c r="BT477" s="143"/>
      <c r="BU477" s="143"/>
      <c r="BV477" s="143"/>
      <c r="BW477" s="143"/>
      <c r="BX477" s="143"/>
      <c r="BY477" s="143"/>
      <c r="BZ477" s="143"/>
      <c r="CA477" s="143"/>
      <c r="CB477" s="143"/>
      <c r="CC477" s="143"/>
      <c r="CD477" s="143"/>
    </row>
    <row r="478" spans="1:82" ht="16.5" customHeight="1" x14ac:dyDescent="0.15">
      <c r="A478" s="35"/>
      <c r="B478" s="35"/>
      <c r="C478" s="35"/>
      <c r="D478" s="35"/>
      <c r="E478" s="35"/>
      <c r="F478" s="35"/>
      <c r="G478" s="35"/>
      <c r="H478" s="34"/>
      <c r="I478" s="36"/>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137"/>
      <c r="BK478" s="143"/>
      <c r="BL478" s="143"/>
      <c r="BM478" s="143"/>
      <c r="BN478" s="143"/>
      <c r="BO478" s="143"/>
      <c r="BP478" s="143"/>
      <c r="BQ478" s="143"/>
      <c r="BR478" s="143"/>
      <c r="BS478" s="143"/>
      <c r="BT478" s="143"/>
      <c r="BU478" s="143"/>
      <c r="BV478" s="143"/>
      <c r="BW478" s="143"/>
      <c r="BX478" s="143"/>
      <c r="BY478" s="143"/>
      <c r="BZ478" s="143"/>
      <c r="CA478" s="143"/>
      <c r="CB478" s="143"/>
      <c r="CC478" s="143"/>
      <c r="CD478" s="143"/>
    </row>
    <row r="479" spans="1:82" ht="16.5" customHeight="1" x14ac:dyDescent="0.15">
      <c r="A479" s="35"/>
      <c r="B479" s="35"/>
      <c r="C479" s="35"/>
      <c r="D479" s="35"/>
      <c r="E479" s="35"/>
      <c r="F479" s="35"/>
      <c r="G479" s="35"/>
      <c r="H479" s="34"/>
      <c r="I479" s="36"/>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137"/>
      <c r="BK479" s="143"/>
      <c r="BL479" s="143"/>
      <c r="BM479" s="143"/>
      <c r="BN479" s="143"/>
      <c r="BO479" s="143"/>
      <c r="BP479" s="143"/>
      <c r="BQ479" s="143"/>
      <c r="BR479" s="143"/>
      <c r="BS479" s="143"/>
      <c r="BT479" s="143"/>
      <c r="BU479" s="143"/>
      <c r="BV479" s="143"/>
      <c r="BW479" s="143"/>
      <c r="BX479" s="143"/>
      <c r="BY479" s="143"/>
      <c r="BZ479" s="143"/>
      <c r="CA479" s="143"/>
      <c r="CB479" s="143"/>
      <c r="CC479" s="143"/>
      <c r="CD479" s="143"/>
    </row>
    <row r="480" spans="1:82" ht="16.5" customHeight="1" x14ac:dyDescent="0.15">
      <c r="A480" s="35"/>
      <c r="B480" s="35"/>
      <c r="C480" s="35"/>
      <c r="D480" s="35"/>
      <c r="E480" s="35"/>
      <c r="F480" s="35"/>
      <c r="G480" s="35"/>
      <c r="H480" s="34"/>
      <c r="I480" s="36"/>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137"/>
      <c r="BK480" s="143"/>
      <c r="BL480" s="143"/>
      <c r="BM480" s="143"/>
      <c r="BN480" s="143"/>
      <c r="BO480" s="143"/>
      <c r="BP480" s="143"/>
      <c r="BQ480" s="143"/>
      <c r="BR480" s="143"/>
      <c r="BS480" s="143"/>
      <c r="BT480" s="143"/>
      <c r="BU480" s="143"/>
      <c r="BV480" s="143"/>
      <c r="BW480" s="143"/>
      <c r="BX480" s="143"/>
      <c r="BY480" s="143"/>
      <c r="BZ480" s="143"/>
      <c r="CA480" s="143"/>
      <c r="CB480" s="143"/>
      <c r="CC480" s="143"/>
      <c r="CD480" s="143"/>
    </row>
    <row r="481" spans="1:82" ht="16.5" customHeight="1" x14ac:dyDescent="0.15">
      <c r="A481" s="35"/>
      <c r="B481" s="35"/>
      <c r="C481" s="35"/>
      <c r="D481" s="35"/>
      <c r="E481" s="35"/>
      <c r="F481" s="35"/>
      <c r="G481" s="35"/>
      <c r="H481" s="34"/>
      <c r="I481" s="36"/>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137"/>
      <c r="BK481" s="143"/>
      <c r="BL481" s="143"/>
      <c r="BM481" s="143"/>
      <c r="BN481" s="143"/>
      <c r="BO481" s="143"/>
      <c r="BP481" s="143"/>
      <c r="BQ481" s="143"/>
      <c r="BR481" s="143"/>
      <c r="BS481" s="143"/>
      <c r="BT481" s="143"/>
      <c r="BU481" s="143"/>
      <c r="BV481" s="143"/>
      <c r="BW481" s="143"/>
      <c r="BX481" s="143"/>
      <c r="BY481" s="143"/>
      <c r="BZ481" s="143"/>
      <c r="CA481" s="143"/>
      <c r="CB481" s="143"/>
      <c r="CC481" s="143"/>
      <c r="CD481" s="143"/>
    </row>
    <row r="482" spans="1:82" ht="16.5" customHeight="1" x14ac:dyDescent="0.15">
      <c r="A482" s="35"/>
      <c r="B482" s="35"/>
      <c r="C482" s="35"/>
      <c r="D482" s="35"/>
      <c r="E482" s="35"/>
      <c r="F482" s="35"/>
      <c r="G482" s="35"/>
      <c r="H482" s="34"/>
      <c r="I482" s="36"/>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137"/>
      <c r="BK482" s="143"/>
      <c r="BL482" s="143"/>
      <c r="BM482" s="143"/>
      <c r="BN482" s="143"/>
      <c r="BO482" s="143"/>
      <c r="BP482" s="143"/>
      <c r="BQ482" s="143"/>
      <c r="BR482" s="143"/>
      <c r="BS482" s="143"/>
      <c r="BT482" s="143"/>
      <c r="BU482" s="143"/>
      <c r="BV482" s="143"/>
      <c r="BW482" s="143"/>
      <c r="BX482" s="143"/>
      <c r="BY482" s="143"/>
      <c r="BZ482" s="143"/>
      <c r="CA482" s="143"/>
      <c r="CB482" s="143"/>
      <c r="CC482" s="143"/>
      <c r="CD482" s="143"/>
    </row>
    <row r="483" spans="1:82" ht="16.5" customHeight="1" x14ac:dyDescent="0.15">
      <c r="A483" s="35"/>
      <c r="B483" s="35"/>
      <c r="C483" s="35"/>
      <c r="D483" s="35"/>
      <c r="E483" s="35"/>
      <c r="F483" s="35"/>
      <c r="G483" s="35"/>
      <c r="H483" s="34"/>
      <c r="I483" s="36"/>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137"/>
      <c r="BK483" s="143"/>
      <c r="BL483" s="143"/>
      <c r="BM483" s="143"/>
      <c r="BN483" s="143"/>
      <c r="BO483" s="143"/>
      <c r="BP483" s="143"/>
      <c r="BQ483" s="143"/>
      <c r="BR483" s="143"/>
      <c r="BS483" s="143"/>
      <c r="BT483" s="143"/>
      <c r="BU483" s="143"/>
      <c r="BV483" s="143"/>
      <c r="BW483" s="143"/>
      <c r="BX483" s="143"/>
      <c r="BY483" s="143"/>
      <c r="BZ483" s="143"/>
      <c r="CA483" s="143"/>
      <c r="CB483" s="143"/>
      <c r="CC483" s="143"/>
      <c r="CD483" s="143"/>
    </row>
    <row r="484" spans="1:82" ht="16.5" customHeight="1" x14ac:dyDescent="0.15">
      <c r="A484" s="35"/>
      <c r="B484" s="35"/>
      <c r="C484" s="35"/>
      <c r="D484" s="35"/>
      <c r="E484" s="35"/>
      <c r="F484" s="35"/>
      <c r="G484" s="35"/>
      <c r="H484" s="34"/>
      <c r="I484" s="36"/>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137"/>
      <c r="BK484" s="143"/>
      <c r="BL484" s="143"/>
      <c r="BM484" s="143"/>
      <c r="BN484" s="143"/>
      <c r="BO484" s="143"/>
      <c r="BP484" s="143"/>
      <c r="BQ484" s="143"/>
      <c r="BR484" s="143"/>
      <c r="BS484" s="143"/>
      <c r="BT484" s="143"/>
      <c r="BU484" s="143"/>
      <c r="BV484" s="143"/>
      <c r="BW484" s="143"/>
      <c r="BX484" s="143"/>
      <c r="BY484" s="143"/>
      <c r="BZ484" s="143"/>
      <c r="CA484" s="143"/>
      <c r="CB484" s="143"/>
      <c r="CC484" s="143"/>
      <c r="CD484" s="143"/>
    </row>
    <row r="485" spans="1:82" ht="16.5" customHeight="1" x14ac:dyDescent="0.15">
      <c r="A485" s="35"/>
      <c r="B485" s="35"/>
      <c r="C485" s="35"/>
      <c r="D485" s="35"/>
      <c r="E485" s="35"/>
      <c r="F485" s="35"/>
      <c r="G485" s="35"/>
      <c r="H485" s="34"/>
      <c r="I485" s="36"/>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137"/>
      <c r="BK485" s="143"/>
      <c r="BL485" s="143"/>
      <c r="BM485" s="143"/>
      <c r="BN485" s="143"/>
      <c r="BO485" s="143"/>
      <c r="BP485" s="143"/>
      <c r="BQ485" s="143"/>
      <c r="BR485" s="143"/>
      <c r="BS485" s="143"/>
      <c r="BT485" s="143"/>
      <c r="BU485" s="143"/>
      <c r="BV485" s="143"/>
      <c r="BW485" s="143"/>
      <c r="BX485" s="143"/>
      <c r="BY485" s="143"/>
      <c r="BZ485" s="143"/>
      <c r="CA485" s="143"/>
      <c r="CB485" s="143"/>
      <c r="CC485" s="143"/>
      <c r="CD485" s="143"/>
    </row>
    <row r="486" spans="1:82" ht="16.5" customHeight="1" x14ac:dyDescent="0.15">
      <c r="A486" s="35"/>
      <c r="B486" s="35"/>
      <c r="C486" s="35"/>
      <c r="D486" s="35"/>
      <c r="E486" s="35"/>
      <c r="F486" s="35"/>
      <c r="G486" s="35"/>
      <c r="H486" s="34"/>
      <c r="I486" s="36"/>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137"/>
      <c r="BK486" s="143"/>
      <c r="BL486" s="143"/>
      <c r="BM486" s="143"/>
      <c r="BN486" s="143"/>
      <c r="BO486" s="143"/>
      <c r="BP486" s="143"/>
      <c r="BQ486" s="143"/>
      <c r="BR486" s="143"/>
      <c r="BS486" s="143"/>
      <c r="BT486" s="143"/>
      <c r="BU486" s="143"/>
      <c r="BV486" s="143"/>
      <c r="BW486" s="143"/>
      <c r="BX486" s="143"/>
      <c r="BY486" s="143"/>
      <c r="BZ486" s="143"/>
      <c r="CA486" s="143"/>
      <c r="CB486" s="143"/>
      <c r="CC486" s="143"/>
      <c r="CD486" s="143"/>
    </row>
    <row r="487" spans="1:82" ht="16.5" customHeight="1" x14ac:dyDescent="0.15">
      <c r="A487" s="35"/>
      <c r="B487" s="35"/>
      <c r="C487" s="35"/>
      <c r="D487" s="35"/>
      <c r="E487" s="35"/>
      <c r="F487" s="35"/>
      <c r="G487" s="35"/>
      <c r="H487" s="34"/>
      <c r="I487" s="36"/>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137"/>
      <c r="BK487" s="143"/>
      <c r="BL487" s="143"/>
      <c r="BM487" s="143"/>
      <c r="BN487" s="143"/>
      <c r="BO487" s="143"/>
      <c r="BP487" s="143"/>
      <c r="BQ487" s="143"/>
      <c r="BR487" s="143"/>
      <c r="BS487" s="143"/>
      <c r="BT487" s="143"/>
      <c r="BU487" s="143"/>
      <c r="BV487" s="143"/>
      <c r="BW487" s="143"/>
      <c r="BX487" s="143"/>
      <c r="BY487" s="143"/>
      <c r="BZ487" s="143"/>
      <c r="CA487" s="143"/>
      <c r="CB487" s="143"/>
      <c r="CC487" s="143"/>
      <c r="CD487" s="143"/>
    </row>
    <row r="488" spans="1:82" ht="16.5" customHeight="1" x14ac:dyDescent="0.15">
      <c r="A488" s="35"/>
      <c r="B488" s="35"/>
      <c r="C488" s="35"/>
      <c r="D488" s="35"/>
      <c r="E488" s="35"/>
      <c r="F488" s="35"/>
      <c r="G488" s="35"/>
      <c r="H488" s="34"/>
      <c r="I488" s="36"/>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137"/>
      <c r="BK488" s="143"/>
      <c r="BL488" s="143"/>
      <c r="BM488" s="143"/>
      <c r="BN488" s="143"/>
      <c r="BO488" s="143"/>
      <c r="BP488" s="143"/>
      <c r="BQ488" s="143"/>
      <c r="BR488" s="143"/>
      <c r="BS488" s="143"/>
      <c r="BT488" s="143"/>
      <c r="BU488" s="143"/>
      <c r="BV488" s="143"/>
      <c r="BW488" s="143"/>
      <c r="BX488" s="143"/>
      <c r="BY488" s="143"/>
      <c r="BZ488" s="143"/>
      <c r="CA488" s="143"/>
      <c r="CB488" s="143"/>
      <c r="CC488" s="143"/>
      <c r="CD488" s="143"/>
    </row>
    <row r="489" spans="1:82" ht="16.5" customHeight="1" x14ac:dyDescent="0.15">
      <c r="A489" s="35"/>
      <c r="B489" s="35"/>
      <c r="C489" s="35"/>
      <c r="D489" s="35"/>
      <c r="E489" s="35"/>
      <c r="F489" s="35"/>
      <c r="G489" s="35"/>
      <c r="H489" s="34"/>
      <c r="I489" s="36"/>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137"/>
      <c r="BK489" s="143"/>
      <c r="BL489" s="143"/>
      <c r="BM489" s="143"/>
      <c r="BN489" s="143"/>
      <c r="BO489" s="143"/>
      <c r="BP489" s="143"/>
      <c r="BQ489" s="143"/>
      <c r="BR489" s="143"/>
      <c r="BS489" s="143"/>
      <c r="BT489" s="143"/>
      <c r="BU489" s="143"/>
      <c r="BV489" s="143"/>
      <c r="BW489" s="143"/>
      <c r="BX489" s="143"/>
      <c r="BY489" s="143"/>
      <c r="BZ489" s="143"/>
      <c r="CA489" s="143"/>
      <c r="CB489" s="143"/>
      <c r="CC489" s="143"/>
      <c r="CD489" s="143"/>
    </row>
    <row r="490" spans="1:82" ht="16.5" customHeight="1" x14ac:dyDescent="0.15">
      <c r="A490" s="35"/>
      <c r="B490" s="35"/>
      <c r="C490" s="35"/>
      <c r="D490" s="35"/>
      <c r="E490" s="35"/>
      <c r="F490" s="35"/>
      <c r="G490" s="35"/>
      <c r="H490" s="34"/>
      <c r="I490" s="36"/>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137"/>
      <c r="BK490" s="143"/>
      <c r="BL490" s="143"/>
      <c r="BM490" s="143"/>
      <c r="BN490" s="143"/>
      <c r="BO490" s="143"/>
      <c r="BP490" s="143"/>
      <c r="BQ490" s="143"/>
      <c r="BR490" s="143"/>
      <c r="BS490" s="143"/>
      <c r="BT490" s="143"/>
      <c r="BU490" s="143"/>
      <c r="BV490" s="143"/>
      <c r="BW490" s="143"/>
      <c r="BX490" s="143"/>
      <c r="BY490" s="143"/>
      <c r="BZ490" s="143"/>
      <c r="CA490" s="143"/>
      <c r="CB490" s="143"/>
      <c r="CC490" s="143"/>
      <c r="CD490" s="143"/>
    </row>
    <row r="491" spans="1:82" ht="16.5" customHeight="1" x14ac:dyDescent="0.15">
      <c r="A491" s="35"/>
      <c r="B491" s="35"/>
      <c r="C491" s="35"/>
      <c r="D491" s="35"/>
      <c r="E491" s="35"/>
      <c r="F491" s="35"/>
      <c r="G491" s="35"/>
      <c r="H491" s="34"/>
      <c r="I491" s="36"/>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137"/>
      <c r="BK491" s="143"/>
      <c r="BL491" s="143"/>
      <c r="BM491" s="143"/>
      <c r="BN491" s="143"/>
      <c r="BO491" s="143"/>
      <c r="BP491" s="143"/>
      <c r="BQ491" s="143"/>
      <c r="BR491" s="143"/>
      <c r="BS491" s="143"/>
      <c r="BT491" s="143"/>
      <c r="BU491" s="143"/>
      <c r="BV491" s="143"/>
      <c r="BW491" s="143"/>
      <c r="BX491" s="143"/>
      <c r="BY491" s="143"/>
      <c r="BZ491" s="143"/>
      <c r="CA491" s="143"/>
      <c r="CB491" s="143"/>
      <c r="CC491" s="143"/>
      <c r="CD491" s="143"/>
    </row>
    <row r="492" spans="1:82" ht="16.5" customHeight="1" x14ac:dyDescent="0.15">
      <c r="A492" s="35"/>
      <c r="B492" s="35"/>
      <c r="C492" s="35"/>
      <c r="D492" s="35"/>
      <c r="E492" s="35"/>
      <c r="F492" s="35"/>
      <c r="G492" s="35"/>
      <c r="H492" s="34"/>
      <c r="I492" s="36"/>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137"/>
      <c r="BK492" s="143"/>
      <c r="BL492" s="143"/>
      <c r="BM492" s="143"/>
      <c r="BN492" s="143"/>
      <c r="BO492" s="143"/>
      <c r="BP492" s="143"/>
      <c r="BQ492" s="143"/>
      <c r="BR492" s="143"/>
      <c r="BS492" s="143"/>
      <c r="BT492" s="143"/>
      <c r="BU492" s="143"/>
      <c r="BV492" s="143"/>
      <c r="BW492" s="143"/>
      <c r="BX492" s="143"/>
      <c r="BY492" s="143"/>
      <c r="BZ492" s="143"/>
      <c r="CA492" s="143"/>
      <c r="CB492" s="143"/>
      <c r="CC492" s="143"/>
      <c r="CD492" s="143"/>
    </row>
    <row r="493" spans="1:82" ht="16.5" customHeight="1" x14ac:dyDescent="0.15">
      <c r="A493" s="35"/>
      <c r="B493" s="35"/>
      <c r="C493" s="35"/>
      <c r="D493" s="35"/>
      <c r="E493" s="35"/>
      <c r="F493" s="35"/>
      <c r="G493" s="35"/>
      <c r="H493" s="34"/>
      <c r="I493" s="36"/>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137"/>
      <c r="BK493" s="143"/>
      <c r="BL493" s="143"/>
      <c r="BM493" s="143"/>
      <c r="BN493" s="143"/>
      <c r="BO493" s="143"/>
      <c r="BP493" s="143"/>
      <c r="BQ493" s="143"/>
      <c r="BR493" s="143"/>
      <c r="BS493" s="143"/>
      <c r="BT493" s="143"/>
      <c r="BU493" s="143"/>
      <c r="BV493" s="143"/>
      <c r="BW493" s="143"/>
      <c r="BX493" s="143"/>
      <c r="BY493" s="143"/>
      <c r="BZ493" s="143"/>
      <c r="CA493" s="143"/>
      <c r="CB493" s="143"/>
      <c r="CC493" s="143"/>
      <c r="CD493" s="143"/>
    </row>
    <row r="494" spans="1:82" ht="16.5" customHeight="1" x14ac:dyDescent="0.15">
      <c r="A494" s="35"/>
      <c r="B494" s="35"/>
      <c r="C494" s="35"/>
      <c r="D494" s="35"/>
      <c r="E494" s="35"/>
      <c r="F494" s="35"/>
      <c r="G494" s="35"/>
      <c r="H494" s="34"/>
      <c r="I494" s="36"/>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137"/>
      <c r="BK494" s="143"/>
      <c r="BL494" s="143"/>
      <c r="BM494" s="143"/>
      <c r="BN494" s="143"/>
      <c r="BO494" s="143"/>
      <c r="BP494" s="143"/>
      <c r="BQ494" s="143"/>
      <c r="BR494" s="143"/>
      <c r="BS494" s="143"/>
      <c r="BT494" s="143"/>
      <c r="BU494" s="143"/>
      <c r="BV494" s="143"/>
      <c r="BW494" s="143"/>
      <c r="BX494" s="143"/>
      <c r="BY494" s="143"/>
      <c r="BZ494" s="143"/>
      <c r="CA494" s="143"/>
      <c r="CB494" s="143"/>
      <c r="CC494" s="143"/>
      <c r="CD494" s="143"/>
    </row>
    <row r="495" spans="1:82" ht="16.5" customHeight="1" x14ac:dyDescent="0.15">
      <c r="A495" s="35"/>
      <c r="B495" s="35"/>
      <c r="C495" s="35"/>
      <c r="D495" s="35"/>
      <c r="E495" s="35"/>
      <c r="F495" s="35"/>
      <c r="G495" s="35"/>
      <c r="H495" s="34"/>
      <c r="I495" s="36"/>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137"/>
      <c r="BK495" s="143"/>
      <c r="BL495" s="143"/>
      <c r="BM495" s="143"/>
      <c r="BN495" s="143"/>
      <c r="BO495" s="143"/>
      <c r="BP495" s="143"/>
      <c r="BQ495" s="143"/>
      <c r="BR495" s="143"/>
      <c r="BS495" s="143"/>
      <c r="BT495" s="143"/>
      <c r="BU495" s="143"/>
      <c r="BV495" s="143"/>
      <c r="BW495" s="143"/>
      <c r="BX495" s="143"/>
      <c r="BY495" s="143"/>
      <c r="BZ495" s="143"/>
      <c r="CA495" s="143"/>
      <c r="CB495" s="143"/>
      <c r="CC495" s="143"/>
      <c r="CD495" s="143"/>
    </row>
    <row r="496" spans="1:82" ht="16.5" customHeight="1" x14ac:dyDescent="0.15">
      <c r="A496" s="35"/>
      <c r="B496" s="35"/>
      <c r="C496" s="35"/>
      <c r="D496" s="35"/>
      <c r="E496" s="35"/>
      <c r="F496" s="35"/>
      <c r="G496" s="35"/>
      <c r="H496" s="34"/>
      <c r="I496" s="36"/>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137"/>
      <c r="BK496" s="143"/>
      <c r="BL496" s="143"/>
      <c r="BM496" s="143"/>
      <c r="BN496" s="143"/>
      <c r="BO496" s="143"/>
      <c r="BP496" s="143"/>
      <c r="BQ496" s="143"/>
      <c r="BR496" s="143"/>
      <c r="BS496" s="143"/>
      <c r="BT496" s="143"/>
      <c r="BU496" s="143"/>
      <c r="BV496" s="143"/>
      <c r="BW496" s="143"/>
      <c r="BX496" s="143"/>
      <c r="BY496" s="143"/>
      <c r="BZ496" s="143"/>
      <c r="CA496" s="143"/>
      <c r="CB496" s="143"/>
      <c r="CC496" s="143"/>
      <c r="CD496" s="143"/>
    </row>
    <row r="497" spans="1:82" ht="16.5" customHeight="1" x14ac:dyDescent="0.15">
      <c r="A497" s="35"/>
      <c r="B497" s="35"/>
      <c r="C497" s="35"/>
      <c r="D497" s="35"/>
      <c r="E497" s="35"/>
      <c r="F497" s="35"/>
      <c r="G497" s="35"/>
      <c r="H497" s="34"/>
      <c r="I497" s="36"/>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137"/>
      <c r="BK497" s="143"/>
      <c r="BL497" s="143"/>
      <c r="BM497" s="143"/>
      <c r="BN497" s="143"/>
      <c r="BO497" s="143"/>
      <c r="BP497" s="143"/>
      <c r="BQ497" s="143"/>
      <c r="BR497" s="143"/>
      <c r="BS497" s="143"/>
      <c r="BT497" s="143"/>
      <c r="BU497" s="143"/>
      <c r="BV497" s="143"/>
      <c r="BW497" s="143"/>
      <c r="BX497" s="143"/>
      <c r="BY497" s="143"/>
      <c r="BZ497" s="143"/>
      <c r="CA497" s="143"/>
      <c r="CB497" s="143"/>
      <c r="CC497" s="143"/>
      <c r="CD497" s="143"/>
    </row>
    <row r="498" spans="1:82" ht="16.5" customHeight="1" x14ac:dyDescent="0.15">
      <c r="A498" s="35"/>
      <c r="B498" s="35"/>
      <c r="C498" s="35"/>
      <c r="D498" s="35"/>
      <c r="E498" s="35"/>
      <c r="F498" s="35"/>
      <c r="G498" s="35"/>
      <c r="H498" s="34"/>
      <c r="I498" s="36"/>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137"/>
      <c r="BK498" s="143"/>
      <c r="BL498" s="143"/>
      <c r="BM498" s="143"/>
      <c r="BN498" s="143"/>
      <c r="BO498" s="143"/>
      <c r="BP498" s="143"/>
      <c r="BQ498" s="143"/>
      <c r="BR498" s="143"/>
      <c r="BS498" s="143"/>
      <c r="BT498" s="143"/>
      <c r="BU498" s="143"/>
      <c r="BV498" s="143"/>
      <c r="BW498" s="143"/>
      <c r="BX498" s="143"/>
      <c r="BY498" s="143"/>
      <c r="BZ498" s="143"/>
      <c r="CA498" s="143"/>
      <c r="CB498" s="143"/>
      <c r="CC498" s="143"/>
      <c r="CD498" s="143"/>
    </row>
    <row r="499" spans="1:82" ht="16.5" customHeight="1" x14ac:dyDescent="0.15">
      <c r="A499" s="35"/>
      <c r="B499" s="35"/>
      <c r="C499" s="35"/>
      <c r="D499" s="35"/>
      <c r="E499" s="35"/>
      <c r="F499" s="35"/>
      <c r="G499" s="35"/>
      <c r="H499" s="34"/>
      <c r="I499" s="36"/>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137"/>
      <c r="BK499" s="143"/>
      <c r="BL499" s="143"/>
      <c r="BM499" s="143"/>
      <c r="BN499" s="143"/>
      <c r="BO499" s="143"/>
      <c r="BP499" s="143"/>
      <c r="BQ499" s="143"/>
      <c r="BR499" s="143"/>
      <c r="BS499" s="143"/>
      <c r="BT499" s="143"/>
      <c r="BU499" s="143"/>
      <c r="BV499" s="143"/>
      <c r="BW499" s="143"/>
      <c r="BX499" s="143"/>
      <c r="BY499" s="143"/>
      <c r="BZ499" s="143"/>
      <c r="CA499" s="143"/>
      <c r="CB499" s="143"/>
      <c r="CC499" s="143"/>
      <c r="CD499" s="143"/>
    </row>
    <row r="500" spans="1:82" ht="16.5" customHeight="1" x14ac:dyDescent="0.15">
      <c r="A500" s="35"/>
      <c r="B500" s="35"/>
      <c r="C500" s="35"/>
      <c r="D500" s="35"/>
      <c r="E500" s="35"/>
      <c r="F500" s="35"/>
      <c r="G500" s="35"/>
      <c r="H500" s="34"/>
      <c r="I500" s="36"/>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137"/>
      <c r="BK500" s="143"/>
      <c r="BL500" s="143"/>
      <c r="BM500" s="143"/>
      <c r="BN500" s="143"/>
      <c r="BO500" s="143"/>
      <c r="BP500" s="143"/>
      <c r="BQ500" s="143"/>
      <c r="BR500" s="143"/>
      <c r="BS500" s="143"/>
      <c r="BT500" s="143"/>
      <c r="BU500" s="143"/>
      <c r="BV500" s="143"/>
      <c r="BW500" s="143"/>
      <c r="BX500" s="143"/>
      <c r="BY500" s="143"/>
      <c r="BZ500" s="143"/>
      <c r="CA500" s="143"/>
      <c r="CB500" s="143"/>
      <c r="CC500" s="143"/>
      <c r="CD500" s="143"/>
    </row>
    <row r="501" spans="1:82" ht="16.5" customHeight="1" x14ac:dyDescent="0.15">
      <c r="A501" s="35"/>
      <c r="B501" s="35"/>
      <c r="C501" s="35"/>
      <c r="D501" s="35"/>
      <c r="E501" s="35"/>
      <c r="F501" s="35"/>
      <c r="G501" s="35"/>
      <c r="H501" s="34"/>
      <c r="I501" s="36"/>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137"/>
      <c r="BK501" s="143"/>
      <c r="BL501" s="143"/>
      <c r="BM501" s="143"/>
      <c r="BN501" s="143"/>
      <c r="BO501" s="143"/>
      <c r="BP501" s="143"/>
      <c r="BQ501" s="143"/>
      <c r="BR501" s="143"/>
      <c r="BS501" s="143"/>
      <c r="BT501" s="143"/>
      <c r="BU501" s="143"/>
      <c r="BV501" s="143"/>
      <c r="BW501" s="143"/>
      <c r="BX501" s="143"/>
      <c r="BY501" s="143"/>
      <c r="BZ501" s="143"/>
      <c r="CA501" s="143"/>
      <c r="CB501" s="143"/>
      <c r="CC501" s="143"/>
      <c r="CD501" s="143"/>
    </row>
    <row r="502" spans="1:82" ht="16.5" customHeight="1" x14ac:dyDescent="0.15">
      <c r="A502" s="35"/>
      <c r="B502" s="35"/>
      <c r="C502" s="35"/>
      <c r="D502" s="35"/>
      <c r="E502" s="35"/>
      <c r="F502" s="35"/>
      <c r="G502" s="35"/>
      <c r="H502" s="34"/>
      <c r="I502" s="36"/>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137"/>
      <c r="BK502" s="143"/>
      <c r="BL502" s="143"/>
      <c r="BM502" s="143"/>
      <c r="BN502" s="143"/>
      <c r="BO502" s="143"/>
      <c r="BP502" s="143"/>
      <c r="BQ502" s="143"/>
      <c r="BR502" s="143"/>
      <c r="BS502" s="143"/>
      <c r="BT502" s="143"/>
      <c r="BU502" s="143"/>
      <c r="BV502" s="143"/>
      <c r="BW502" s="143"/>
      <c r="BX502" s="143"/>
      <c r="BY502" s="143"/>
      <c r="BZ502" s="143"/>
      <c r="CA502" s="143"/>
      <c r="CB502" s="143"/>
      <c r="CC502" s="143"/>
      <c r="CD502" s="143"/>
    </row>
    <row r="503" spans="1:82" ht="16.5" customHeight="1" x14ac:dyDescent="0.15">
      <c r="A503" s="35"/>
      <c r="B503" s="35"/>
      <c r="C503" s="35"/>
      <c r="D503" s="35"/>
      <c r="E503" s="35"/>
      <c r="F503" s="35"/>
      <c r="G503" s="35"/>
      <c r="H503" s="34"/>
      <c r="I503" s="36"/>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137"/>
      <c r="BK503" s="143"/>
      <c r="BL503" s="143"/>
      <c r="BM503" s="143"/>
      <c r="BN503" s="143"/>
      <c r="BO503" s="143"/>
      <c r="BP503" s="143"/>
      <c r="BQ503" s="143"/>
      <c r="BR503" s="143"/>
      <c r="BS503" s="143"/>
      <c r="BT503" s="143"/>
      <c r="BU503" s="143"/>
      <c r="BV503" s="143"/>
      <c r="BW503" s="143"/>
      <c r="BX503" s="143"/>
      <c r="BY503" s="143"/>
      <c r="BZ503" s="143"/>
      <c r="CA503" s="143"/>
      <c r="CB503" s="143"/>
      <c r="CC503" s="143"/>
      <c r="CD503" s="143"/>
    </row>
    <row r="504" spans="1:82" ht="16.5" customHeight="1" x14ac:dyDescent="0.15">
      <c r="A504" s="35"/>
      <c r="B504" s="35"/>
      <c r="C504" s="35"/>
      <c r="D504" s="35"/>
      <c r="E504" s="35"/>
      <c r="F504" s="35"/>
      <c r="G504" s="35"/>
      <c r="H504" s="34"/>
      <c r="I504" s="36"/>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137"/>
      <c r="BK504" s="143"/>
      <c r="BL504" s="143"/>
      <c r="BM504" s="143"/>
      <c r="BN504" s="143"/>
      <c r="BO504" s="143"/>
      <c r="BP504" s="143"/>
      <c r="BQ504" s="143"/>
      <c r="BR504" s="143"/>
      <c r="BS504" s="143"/>
      <c r="BT504" s="143"/>
      <c r="BU504" s="143"/>
      <c r="BV504" s="143"/>
      <c r="BW504" s="143"/>
      <c r="BX504" s="143"/>
      <c r="BY504" s="143"/>
      <c r="BZ504" s="143"/>
      <c r="CA504" s="143"/>
      <c r="CB504" s="143"/>
      <c r="CC504" s="143"/>
      <c r="CD504" s="143"/>
    </row>
    <row r="505" spans="1:82" ht="16.5" customHeight="1" x14ac:dyDescent="0.15">
      <c r="A505" s="35"/>
      <c r="B505" s="35"/>
      <c r="C505" s="35"/>
      <c r="D505" s="35"/>
      <c r="E505" s="35"/>
      <c r="F505" s="35"/>
      <c r="G505" s="35"/>
      <c r="H505" s="34"/>
      <c r="I505" s="36"/>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137"/>
      <c r="BK505" s="143"/>
      <c r="BL505" s="143"/>
      <c r="BM505" s="143"/>
      <c r="BN505" s="143"/>
      <c r="BO505" s="143"/>
      <c r="BP505" s="143"/>
      <c r="BQ505" s="143"/>
      <c r="BR505" s="143"/>
      <c r="BS505" s="143"/>
      <c r="BT505" s="143"/>
      <c r="BU505" s="143"/>
      <c r="BV505" s="143"/>
      <c r="BW505" s="143"/>
      <c r="BX505" s="143"/>
      <c r="BY505" s="143"/>
      <c r="BZ505" s="143"/>
      <c r="CA505" s="143"/>
      <c r="CB505" s="143"/>
      <c r="CC505" s="143"/>
      <c r="CD505" s="143"/>
    </row>
    <row r="506" spans="1:82" ht="16.5" customHeight="1" x14ac:dyDescent="0.15">
      <c r="A506" s="35"/>
      <c r="B506" s="35"/>
      <c r="C506" s="35"/>
      <c r="D506" s="35"/>
      <c r="E506" s="35"/>
      <c r="F506" s="35"/>
      <c r="G506" s="35"/>
      <c r="H506" s="34"/>
      <c r="I506" s="36"/>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137"/>
      <c r="BK506" s="143"/>
      <c r="BL506" s="143"/>
      <c r="BM506" s="143"/>
      <c r="BN506" s="143"/>
      <c r="BO506" s="143"/>
      <c r="BP506" s="143"/>
      <c r="BQ506" s="143"/>
      <c r="BR506" s="143"/>
      <c r="BS506" s="143"/>
      <c r="BT506" s="143"/>
      <c r="BU506" s="143"/>
      <c r="BV506" s="143"/>
      <c r="BW506" s="143"/>
      <c r="BX506" s="143"/>
      <c r="BY506" s="143"/>
      <c r="BZ506" s="143"/>
      <c r="CA506" s="143"/>
      <c r="CB506" s="143"/>
      <c r="CC506" s="143"/>
      <c r="CD506" s="143"/>
    </row>
    <row r="507" spans="1:82" ht="16.5" customHeight="1" x14ac:dyDescent="0.15">
      <c r="A507" s="35"/>
      <c r="B507" s="35"/>
      <c r="C507" s="35"/>
      <c r="D507" s="35"/>
      <c r="E507" s="35"/>
      <c r="F507" s="35"/>
      <c r="G507" s="35"/>
      <c r="H507" s="34"/>
      <c r="I507" s="36"/>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137"/>
      <c r="BK507" s="143"/>
      <c r="BL507" s="143"/>
      <c r="BM507" s="143"/>
      <c r="BN507" s="143"/>
      <c r="BO507" s="143"/>
      <c r="BP507" s="143"/>
      <c r="BQ507" s="143"/>
      <c r="BR507" s="143"/>
      <c r="BS507" s="143"/>
      <c r="BT507" s="143"/>
      <c r="BU507" s="143"/>
      <c r="BV507" s="143"/>
      <c r="BW507" s="143"/>
      <c r="BX507" s="143"/>
      <c r="BY507" s="143"/>
      <c r="BZ507" s="143"/>
      <c r="CA507" s="143"/>
      <c r="CB507" s="143"/>
      <c r="CC507" s="143"/>
      <c r="CD507" s="143"/>
    </row>
    <row r="508" spans="1:82" ht="16.5" customHeight="1" x14ac:dyDescent="0.15">
      <c r="A508" s="35"/>
      <c r="B508" s="35"/>
      <c r="C508" s="35"/>
      <c r="D508" s="35"/>
      <c r="E508" s="35"/>
      <c r="F508" s="35"/>
      <c r="G508" s="35"/>
      <c r="H508" s="34"/>
      <c r="I508" s="36"/>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137"/>
      <c r="BK508" s="143"/>
      <c r="BL508" s="143"/>
      <c r="BM508" s="143"/>
      <c r="BN508" s="143"/>
      <c r="BO508" s="143"/>
      <c r="BP508" s="143"/>
      <c r="BQ508" s="143"/>
      <c r="BR508" s="143"/>
      <c r="BS508" s="143"/>
      <c r="BT508" s="143"/>
      <c r="BU508" s="143"/>
      <c r="BV508" s="143"/>
      <c r="BW508" s="143"/>
      <c r="BX508" s="143"/>
      <c r="BY508" s="143"/>
      <c r="BZ508" s="143"/>
      <c r="CA508" s="143"/>
      <c r="CB508" s="143"/>
      <c r="CC508" s="143"/>
      <c r="CD508" s="143"/>
    </row>
    <row r="509" spans="1:82" ht="16.5" customHeight="1" x14ac:dyDescent="0.15">
      <c r="A509" s="35"/>
      <c r="B509" s="35"/>
      <c r="C509" s="35"/>
      <c r="D509" s="35"/>
      <c r="E509" s="35"/>
      <c r="F509" s="35"/>
      <c r="G509" s="35"/>
      <c r="H509" s="34"/>
      <c r="I509" s="36"/>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137"/>
      <c r="BK509" s="143"/>
      <c r="BL509" s="143"/>
      <c r="BM509" s="143"/>
      <c r="BN509" s="143"/>
      <c r="BO509" s="143"/>
      <c r="BP509" s="143"/>
      <c r="BQ509" s="143"/>
      <c r="BR509" s="143"/>
      <c r="BS509" s="143"/>
      <c r="BT509" s="143"/>
      <c r="BU509" s="143"/>
      <c r="BV509" s="143"/>
      <c r="BW509" s="143"/>
      <c r="BX509" s="143"/>
      <c r="BY509" s="143"/>
      <c r="BZ509" s="143"/>
      <c r="CA509" s="143"/>
      <c r="CB509" s="143"/>
      <c r="CC509" s="143"/>
      <c r="CD509" s="143"/>
    </row>
    <row r="510" spans="1:82" ht="16.5" customHeight="1" x14ac:dyDescent="0.15">
      <c r="A510" s="35"/>
      <c r="B510" s="35"/>
      <c r="C510" s="35"/>
      <c r="D510" s="35"/>
      <c r="E510" s="35"/>
      <c r="F510" s="35"/>
      <c r="G510" s="35"/>
      <c r="H510" s="34"/>
      <c r="I510" s="36"/>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137"/>
      <c r="BK510" s="143"/>
      <c r="BL510" s="143"/>
      <c r="BM510" s="143"/>
      <c r="BN510" s="143"/>
      <c r="BO510" s="143"/>
      <c r="BP510" s="143"/>
      <c r="BQ510" s="143"/>
      <c r="BR510" s="143"/>
      <c r="BS510" s="143"/>
      <c r="BT510" s="143"/>
      <c r="BU510" s="143"/>
      <c r="BV510" s="143"/>
      <c r="BW510" s="143"/>
      <c r="BX510" s="143"/>
      <c r="BY510" s="143"/>
      <c r="BZ510" s="143"/>
      <c r="CA510" s="143"/>
      <c r="CB510" s="143"/>
      <c r="CC510" s="143"/>
      <c r="CD510" s="143"/>
    </row>
    <row r="511" spans="1:82" ht="16.5" customHeight="1" x14ac:dyDescent="0.15">
      <c r="A511" s="35"/>
      <c r="B511" s="35"/>
      <c r="C511" s="35"/>
      <c r="D511" s="35"/>
      <c r="E511" s="35"/>
      <c r="F511" s="35"/>
      <c r="G511" s="35"/>
      <c r="H511" s="34"/>
      <c r="I511" s="36"/>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137"/>
      <c r="BK511" s="143"/>
      <c r="BL511" s="143"/>
      <c r="BM511" s="143"/>
      <c r="BN511" s="143"/>
      <c r="BO511" s="143"/>
      <c r="BP511" s="143"/>
      <c r="BQ511" s="143"/>
      <c r="BR511" s="143"/>
      <c r="BS511" s="143"/>
      <c r="BT511" s="143"/>
      <c r="BU511" s="143"/>
      <c r="BV511" s="143"/>
      <c r="BW511" s="143"/>
      <c r="BX511" s="143"/>
      <c r="BY511" s="143"/>
      <c r="BZ511" s="143"/>
      <c r="CA511" s="143"/>
      <c r="CB511" s="143"/>
      <c r="CC511" s="143"/>
      <c r="CD511" s="143"/>
    </row>
    <row r="512" spans="1:82" ht="16.5" customHeight="1" x14ac:dyDescent="0.15">
      <c r="A512" s="35"/>
      <c r="B512" s="35"/>
      <c r="C512" s="35"/>
      <c r="D512" s="35"/>
      <c r="E512" s="35"/>
      <c r="F512" s="35"/>
      <c r="G512" s="35"/>
      <c r="H512" s="34"/>
      <c r="I512" s="36"/>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137"/>
      <c r="BK512" s="143"/>
      <c r="BL512" s="143"/>
      <c r="BM512" s="143"/>
      <c r="BN512" s="143"/>
      <c r="BO512" s="143"/>
      <c r="BP512" s="143"/>
      <c r="BQ512" s="143"/>
      <c r="BR512" s="143"/>
      <c r="BS512" s="143"/>
      <c r="BT512" s="143"/>
      <c r="BU512" s="143"/>
      <c r="BV512" s="143"/>
      <c r="BW512" s="143"/>
      <c r="BX512" s="143"/>
      <c r="BY512" s="143"/>
      <c r="BZ512" s="143"/>
      <c r="CA512" s="143"/>
      <c r="CB512" s="143"/>
      <c r="CC512" s="143"/>
      <c r="CD512" s="143"/>
    </row>
    <row r="513" spans="1:82" ht="16.5" customHeight="1" x14ac:dyDescent="0.15">
      <c r="A513" s="35"/>
      <c r="B513" s="35"/>
      <c r="C513" s="35"/>
      <c r="D513" s="35"/>
      <c r="E513" s="35"/>
      <c r="F513" s="35"/>
      <c r="G513" s="35"/>
      <c r="H513" s="34"/>
      <c r="I513" s="36"/>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137"/>
      <c r="BK513" s="143"/>
      <c r="BL513" s="143"/>
      <c r="BM513" s="143"/>
      <c r="BN513" s="143"/>
      <c r="BO513" s="143"/>
      <c r="BP513" s="143"/>
      <c r="BQ513" s="143"/>
      <c r="BR513" s="143"/>
      <c r="BS513" s="143"/>
      <c r="BT513" s="143"/>
      <c r="BU513" s="143"/>
      <c r="BV513" s="143"/>
      <c r="BW513" s="143"/>
      <c r="BX513" s="143"/>
      <c r="BY513" s="143"/>
      <c r="BZ513" s="143"/>
      <c r="CA513" s="143"/>
      <c r="CB513" s="143"/>
      <c r="CC513" s="143"/>
      <c r="CD513" s="143"/>
    </row>
    <row r="514" spans="1:82" ht="16.5" customHeight="1" x14ac:dyDescent="0.15">
      <c r="A514" s="35"/>
      <c r="B514" s="35"/>
      <c r="C514" s="35"/>
      <c r="D514" s="35"/>
      <c r="E514" s="35"/>
      <c r="F514" s="35"/>
      <c r="G514" s="35"/>
      <c r="H514" s="34"/>
      <c r="I514" s="36"/>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137"/>
      <c r="BK514" s="143"/>
      <c r="BL514" s="143"/>
      <c r="BM514" s="143"/>
      <c r="BN514" s="143"/>
      <c r="BO514" s="143"/>
      <c r="BP514" s="143"/>
      <c r="BQ514" s="143"/>
      <c r="BR514" s="143"/>
      <c r="BS514" s="143"/>
      <c r="BT514" s="143"/>
      <c r="BU514" s="143"/>
      <c r="BV514" s="143"/>
      <c r="BW514" s="143"/>
      <c r="BX514" s="143"/>
      <c r="BY514" s="143"/>
      <c r="BZ514" s="143"/>
      <c r="CA514" s="143"/>
      <c r="CB514" s="143"/>
      <c r="CC514" s="143"/>
      <c r="CD514" s="143"/>
    </row>
    <row r="515" spans="1:82" ht="16.5" customHeight="1" x14ac:dyDescent="0.15">
      <c r="A515" s="35"/>
      <c r="B515" s="35"/>
      <c r="C515" s="35"/>
      <c r="D515" s="35"/>
      <c r="E515" s="35"/>
      <c r="F515" s="35"/>
      <c r="G515" s="35"/>
      <c r="H515" s="34"/>
      <c r="I515" s="36"/>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137"/>
      <c r="BK515" s="143"/>
      <c r="BL515" s="143"/>
      <c r="BM515" s="143"/>
      <c r="BN515" s="143"/>
      <c r="BO515" s="143"/>
      <c r="BP515" s="143"/>
      <c r="BQ515" s="143"/>
      <c r="BR515" s="143"/>
      <c r="BS515" s="143"/>
      <c r="BT515" s="143"/>
      <c r="BU515" s="143"/>
      <c r="BV515" s="143"/>
      <c r="BW515" s="143"/>
      <c r="BX515" s="143"/>
      <c r="BY515" s="143"/>
      <c r="BZ515" s="143"/>
      <c r="CA515" s="143"/>
      <c r="CB515" s="143"/>
      <c r="CC515" s="143"/>
      <c r="CD515" s="143"/>
    </row>
    <row r="516" spans="1:82" ht="16.5" customHeight="1" x14ac:dyDescent="0.15">
      <c r="A516" s="35"/>
      <c r="B516" s="35"/>
      <c r="C516" s="35"/>
      <c r="D516" s="35"/>
      <c r="E516" s="35"/>
      <c r="F516" s="35"/>
      <c r="G516" s="35"/>
      <c r="H516" s="34"/>
      <c r="I516" s="36"/>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137"/>
      <c r="BK516" s="143"/>
      <c r="BL516" s="143"/>
      <c r="BM516" s="143"/>
      <c r="BN516" s="143"/>
      <c r="BO516" s="143"/>
      <c r="BP516" s="143"/>
      <c r="BQ516" s="143"/>
      <c r="BR516" s="143"/>
      <c r="BS516" s="143"/>
      <c r="BT516" s="143"/>
      <c r="BU516" s="143"/>
      <c r="BV516" s="143"/>
      <c r="BW516" s="143"/>
      <c r="BX516" s="143"/>
      <c r="BY516" s="143"/>
      <c r="BZ516" s="143"/>
      <c r="CA516" s="143"/>
      <c r="CB516" s="143"/>
      <c r="CC516" s="143"/>
      <c r="CD516" s="143"/>
    </row>
    <row r="517" spans="1:82" ht="16.5" customHeight="1" x14ac:dyDescent="0.15">
      <c r="A517" s="35"/>
      <c r="B517" s="35"/>
      <c r="C517" s="35"/>
      <c r="D517" s="35"/>
      <c r="E517" s="35"/>
      <c r="F517" s="35"/>
      <c r="G517" s="35"/>
      <c r="H517" s="34"/>
      <c r="I517" s="36"/>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137"/>
      <c r="BK517" s="143"/>
      <c r="BL517" s="143"/>
      <c r="BM517" s="143"/>
      <c r="BN517" s="143"/>
      <c r="BO517" s="143"/>
      <c r="BP517" s="143"/>
      <c r="BQ517" s="143"/>
      <c r="BR517" s="143"/>
      <c r="BS517" s="143"/>
      <c r="BT517" s="143"/>
      <c r="BU517" s="143"/>
      <c r="BV517" s="143"/>
      <c r="BW517" s="143"/>
      <c r="BX517" s="143"/>
      <c r="BY517" s="143"/>
      <c r="BZ517" s="143"/>
      <c r="CA517" s="143"/>
      <c r="CB517" s="143"/>
      <c r="CC517" s="143"/>
      <c r="CD517" s="143"/>
    </row>
    <row r="518" spans="1:82" ht="16.5" customHeight="1" x14ac:dyDescent="0.15">
      <c r="A518" s="35"/>
      <c r="B518" s="35"/>
      <c r="C518" s="35"/>
      <c r="D518" s="35"/>
      <c r="E518" s="35"/>
      <c r="F518" s="35"/>
      <c r="G518" s="35"/>
      <c r="H518" s="34"/>
      <c r="I518" s="36"/>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137"/>
      <c r="BK518" s="143"/>
      <c r="BL518" s="143"/>
      <c r="BM518" s="143"/>
      <c r="BN518" s="143"/>
      <c r="BO518" s="143"/>
      <c r="BP518" s="143"/>
      <c r="BQ518" s="143"/>
      <c r="BR518" s="143"/>
      <c r="BS518" s="143"/>
      <c r="BT518" s="143"/>
      <c r="BU518" s="143"/>
      <c r="BV518" s="143"/>
      <c r="BW518" s="143"/>
      <c r="BX518" s="143"/>
      <c r="BY518" s="143"/>
      <c r="BZ518" s="143"/>
      <c r="CA518" s="143"/>
      <c r="CB518" s="143"/>
      <c r="CC518" s="143"/>
      <c r="CD518" s="143"/>
    </row>
    <row r="519" spans="1:82" ht="16.5" customHeight="1" x14ac:dyDescent="0.15">
      <c r="A519" s="35"/>
      <c r="B519" s="35"/>
      <c r="C519" s="35"/>
      <c r="D519" s="35"/>
      <c r="E519" s="35"/>
      <c r="F519" s="35"/>
      <c r="G519" s="35"/>
      <c r="H519" s="34"/>
      <c r="I519" s="36"/>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137"/>
      <c r="BK519" s="143"/>
      <c r="BL519" s="143"/>
      <c r="BM519" s="143"/>
      <c r="BN519" s="143"/>
      <c r="BO519" s="143"/>
      <c r="BP519" s="143"/>
      <c r="BQ519" s="143"/>
      <c r="BR519" s="143"/>
      <c r="BS519" s="143"/>
      <c r="BT519" s="143"/>
      <c r="BU519" s="143"/>
      <c r="BV519" s="143"/>
      <c r="BW519" s="143"/>
      <c r="BX519" s="143"/>
      <c r="BY519" s="143"/>
      <c r="BZ519" s="143"/>
      <c r="CA519" s="143"/>
      <c r="CB519" s="143"/>
      <c r="CC519" s="143"/>
      <c r="CD519" s="143"/>
    </row>
    <row r="520" spans="1:82" ht="16.5" customHeight="1" x14ac:dyDescent="0.15">
      <c r="A520" s="35"/>
      <c r="B520" s="35"/>
      <c r="C520" s="35"/>
      <c r="D520" s="35"/>
      <c r="E520" s="35"/>
      <c r="F520" s="35"/>
      <c r="G520" s="35"/>
      <c r="H520" s="34"/>
      <c r="I520" s="36"/>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137"/>
      <c r="BK520" s="143"/>
      <c r="BL520" s="143"/>
      <c r="BM520" s="143"/>
      <c r="BN520" s="143"/>
      <c r="BO520" s="143"/>
      <c r="BP520" s="143"/>
      <c r="BQ520" s="143"/>
      <c r="BR520" s="143"/>
      <c r="BS520" s="143"/>
      <c r="BT520" s="143"/>
      <c r="BU520" s="143"/>
      <c r="BV520" s="143"/>
      <c r="BW520" s="143"/>
      <c r="BX520" s="143"/>
      <c r="BY520" s="143"/>
      <c r="BZ520" s="143"/>
      <c r="CA520" s="143"/>
      <c r="CB520" s="143"/>
      <c r="CC520" s="143"/>
      <c r="CD520" s="143"/>
    </row>
    <row r="521" spans="1:82" ht="16.5" customHeight="1" x14ac:dyDescent="0.15">
      <c r="A521" s="35"/>
      <c r="B521" s="35"/>
      <c r="C521" s="35"/>
      <c r="D521" s="35"/>
      <c r="E521" s="35"/>
      <c r="F521" s="35"/>
      <c r="G521" s="35"/>
      <c r="H521" s="34"/>
      <c r="I521" s="36"/>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137"/>
      <c r="BK521" s="143"/>
      <c r="BL521" s="143"/>
      <c r="BM521" s="143"/>
      <c r="BN521" s="143"/>
      <c r="BO521" s="143"/>
      <c r="BP521" s="143"/>
      <c r="BQ521" s="143"/>
      <c r="BR521" s="143"/>
      <c r="BS521" s="143"/>
      <c r="BT521" s="143"/>
      <c r="BU521" s="143"/>
      <c r="BV521" s="143"/>
      <c r="BW521" s="143"/>
      <c r="BX521" s="143"/>
      <c r="BY521" s="143"/>
      <c r="BZ521" s="143"/>
      <c r="CA521" s="143"/>
      <c r="CB521" s="143"/>
      <c r="CC521" s="143"/>
      <c r="CD521" s="143"/>
    </row>
    <row r="522" spans="1:82" ht="16.5" customHeight="1" x14ac:dyDescent="0.15">
      <c r="A522" s="35"/>
      <c r="B522" s="35"/>
      <c r="C522" s="35"/>
      <c r="D522" s="35"/>
      <c r="E522" s="35"/>
      <c r="F522" s="35"/>
      <c r="G522" s="35"/>
      <c r="H522" s="34"/>
      <c r="I522" s="36"/>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137"/>
      <c r="BK522" s="143"/>
      <c r="BL522" s="143"/>
      <c r="BM522" s="143"/>
      <c r="BN522" s="143"/>
      <c r="BO522" s="143"/>
      <c r="BP522" s="143"/>
      <c r="BQ522" s="143"/>
      <c r="BR522" s="143"/>
      <c r="BS522" s="143"/>
      <c r="BT522" s="143"/>
      <c r="BU522" s="143"/>
      <c r="BV522" s="143"/>
      <c r="BW522" s="143"/>
      <c r="BX522" s="143"/>
      <c r="BY522" s="143"/>
      <c r="BZ522" s="143"/>
      <c r="CA522" s="143"/>
      <c r="CB522" s="143"/>
      <c r="CC522" s="143"/>
      <c r="CD522" s="143"/>
    </row>
    <row r="523" spans="1:82" ht="16.5" customHeight="1" x14ac:dyDescent="0.15">
      <c r="A523" s="35"/>
      <c r="B523" s="35"/>
      <c r="C523" s="35"/>
      <c r="D523" s="35"/>
      <c r="E523" s="35"/>
      <c r="F523" s="35"/>
      <c r="G523" s="35"/>
      <c r="H523" s="34"/>
      <c r="I523" s="36"/>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137"/>
      <c r="BK523" s="143"/>
      <c r="BL523" s="143"/>
      <c r="BM523" s="143"/>
      <c r="BN523" s="143"/>
      <c r="BO523" s="143"/>
      <c r="BP523" s="143"/>
      <c r="BQ523" s="143"/>
      <c r="BR523" s="143"/>
      <c r="BS523" s="143"/>
      <c r="BT523" s="143"/>
      <c r="BU523" s="143"/>
      <c r="BV523" s="143"/>
      <c r="BW523" s="143"/>
      <c r="BX523" s="143"/>
      <c r="BY523" s="143"/>
      <c r="BZ523" s="143"/>
      <c r="CA523" s="143"/>
      <c r="CB523" s="143"/>
      <c r="CC523" s="143"/>
      <c r="CD523" s="143"/>
    </row>
    <row r="524" spans="1:82" ht="16.5" customHeight="1" x14ac:dyDescent="0.15">
      <c r="A524" s="35"/>
      <c r="B524" s="35"/>
      <c r="C524" s="35"/>
      <c r="D524" s="35"/>
      <c r="E524" s="35"/>
      <c r="F524" s="35"/>
      <c r="G524" s="35"/>
      <c r="H524" s="34"/>
      <c r="I524" s="36"/>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137"/>
      <c r="BK524" s="143"/>
      <c r="BL524" s="143"/>
      <c r="BM524" s="143"/>
      <c r="BN524" s="143"/>
      <c r="BO524" s="143"/>
      <c r="BP524" s="143"/>
      <c r="BQ524" s="143"/>
      <c r="BR524" s="143"/>
      <c r="BS524" s="143"/>
      <c r="BT524" s="143"/>
      <c r="BU524" s="143"/>
      <c r="BV524" s="143"/>
      <c r="BW524" s="143"/>
      <c r="BX524" s="143"/>
      <c r="BY524" s="143"/>
      <c r="BZ524" s="143"/>
      <c r="CA524" s="143"/>
      <c r="CB524" s="143"/>
      <c r="CC524" s="143"/>
      <c r="CD524" s="143"/>
    </row>
    <row r="525" spans="1:82" ht="16.5" customHeight="1" x14ac:dyDescent="0.15">
      <c r="A525" s="35"/>
      <c r="B525" s="35"/>
      <c r="C525" s="35"/>
      <c r="D525" s="35"/>
      <c r="E525" s="35"/>
      <c r="F525" s="35"/>
      <c r="G525" s="35"/>
      <c r="H525" s="34"/>
      <c r="I525" s="36"/>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137"/>
      <c r="BK525" s="143"/>
      <c r="BL525" s="143"/>
      <c r="BM525" s="143"/>
      <c r="BN525" s="143"/>
      <c r="BO525" s="143"/>
      <c r="BP525" s="143"/>
      <c r="BQ525" s="143"/>
      <c r="BR525" s="143"/>
      <c r="BS525" s="143"/>
      <c r="BT525" s="143"/>
      <c r="BU525" s="143"/>
      <c r="BV525" s="143"/>
      <c r="BW525" s="143"/>
      <c r="BX525" s="143"/>
      <c r="BY525" s="143"/>
      <c r="BZ525" s="143"/>
      <c r="CA525" s="143"/>
      <c r="CB525" s="143"/>
      <c r="CC525" s="143"/>
      <c r="CD525" s="143"/>
    </row>
    <row r="526" spans="1:82" ht="16.5" customHeight="1" x14ac:dyDescent="0.15">
      <c r="A526" s="35"/>
      <c r="B526" s="35"/>
      <c r="C526" s="35"/>
      <c r="D526" s="35"/>
      <c r="E526" s="35"/>
      <c r="F526" s="35"/>
      <c r="G526" s="35"/>
      <c r="H526" s="34"/>
      <c r="I526" s="36"/>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137"/>
      <c r="BK526" s="143"/>
      <c r="BL526" s="143"/>
      <c r="BM526" s="143"/>
      <c r="BN526" s="143"/>
      <c r="BO526" s="143"/>
      <c r="BP526" s="143"/>
      <c r="BQ526" s="143"/>
      <c r="BR526" s="143"/>
      <c r="BS526" s="143"/>
      <c r="BT526" s="143"/>
      <c r="BU526" s="143"/>
      <c r="BV526" s="143"/>
      <c r="BW526" s="143"/>
      <c r="BX526" s="143"/>
      <c r="BY526" s="143"/>
      <c r="BZ526" s="143"/>
      <c r="CA526" s="143"/>
      <c r="CB526" s="143"/>
      <c r="CC526" s="143"/>
      <c r="CD526" s="143"/>
    </row>
    <row r="527" spans="1:82" ht="16.5" customHeight="1" x14ac:dyDescent="0.15">
      <c r="A527" s="35"/>
      <c r="B527" s="35"/>
      <c r="C527" s="35"/>
      <c r="D527" s="35"/>
      <c r="E527" s="35"/>
      <c r="F527" s="35"/>
      <c r="G527" s="35"/>
      <c r="H527" s="34"/>
      <c r="I527" s="36"/>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137"/>
      <c r="BK527" s="143"/>
      <c r="BL527" s="143"/>
      <c r="BM527" s="143"/>
      <c r="BN527" s="143"/>
      <c r="BO527" s="143"/>
      <c r="BP527" s="143"/>
      <c r="BQ527" s="143"/>
      <c r="BR527" s="143"/>
      <c r="BS527" s="143"/>
      <c r="BT527" s="143"/>
      <c r="BU527" s="143"/>
      <c r="BV527" s="143"/>
      <c r="BW527" s="143"/>
      <c r="BX527" s="143"/>
      <c r="BY527" s="143"/>
      <c r="BZ527" s="143"/>
      <c r="CA527" s="143"/>
      <c r="CB527" s="143"/>
      <c r="CC527" s="143"/>
      <c r="CD527" s="143"/>
    </row>
    <row r="528" spans="1:82" ht="16.5" customHeight="1" x14ac:dyDescent="0.15">
      <c r="A528" s="35"/>
      <c r="B528" s="35"/>
      <c r="C528" s="35"/>
      <c r="D528" s="35"/>
      <c r="E528" s="35"/>
      <c r="F528" s="35"/>
      <c r="G528" s="35"/>
      <c r="H528" s="34"/>
      <c r="I528" s="36"/>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137"/>
      <c r="BK528" s="143"/>
      <c r="BL528" s="143"/>
      <c r="BM528" s="143"/>
      <c r="BN528" s="143"/>
      <c r="BO528" s="143"/>
      <c r="BP528" s="143"/>
      <c r="BQ528" s="143"/>
      <c r="BR528" s="143"/>
      <c r="BS528" s="143"/>
      <c r="BT528" s="143"/>
      <c r="BU528" s="143"/>
      <c r="BV528" s="143"/>
      <c r="BW528" s="143"/>
      <c r="BX528" s="143"/>
      <c r="BY528" s="143"/>
      <c r="BZ528" s="143"/>
      <c r="CA528" s="143"/>
      <c r="CB528" s="143"/>
      <c r="CC528" s="143"/>
      <c r="CD528" s="143"/>
    </row>
    <row r="529" spans="1:82" ht="16.5" customHeight="1" x14ac:dyDescent="0.15">
      <c r="A529" s="35"/>
      <c r="B529" s="35"/>
      <c r="C529" s="35"/>
      <c r="D529" s="35"/>
      <c r="E529" s="35"/>
      <c r="F529" s="35"/>
      <c r="G529" s="35"/>
      <c r="H529" s="34"/>
      <c r="I529" s="36"/>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137"/>
      <c r="BK529" s="143"/>
      <c r="BL529" s="143"/>
      <c r="BM529" s="143"/>
      <c r="BN529" s="143"/>
      <c r="BO529" s="143"/>
      <c r="BP529" s="143"/>
      <c r="BQ529" s="143"/>
      <c r="BR529" s="143"/>
      <c r="BS529" s="143"/>
      <c r="BT529" s="143"/>
      <c r="BU529" s="143"/>
      <c r="BV529" s="143"/>
      <c r="BW529" s="143"/>
      <c r="BX529" s="143"/>
      <c r="BY529" s="143"/>
      <c r="BZ529" s="143"/>
      <c r="CA529" s="143"/>
      <c r="CB529" s="143"/>
      <c r="CC529" s="143"/>
      <c r="CD529" s="143"/>
    </row>
    <row r="530" spans="1:82" ht="16.5" customHeight="1" x14ac:dyDescent="0.15">
      <c r="A530" s="35"/>
      <c r="B530" s="35"/>
      <c r="C530" s="35"/>
      <c r="D530" s="35"/>
      <c r="E530" s="35"/>
      <c r="F530" s="35"/>
      <c r="G530" s="35"/>
      <c r="H530" s="34"/>
      <c r="I530" s="36"/>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137"/>
      <c r="BK530" s="143"/>
      <c r="BL530" s="143"/>
      <c r="BM530" s="143"/>
      <c r="BN530" s="143"/>
      <c r="BO530" s="143"/>
      <c r="BP530" s="143"/>
      <c r="BQ530" s="143"/>
      <c r="BR530" s="143"/>
      <c r="BS530" s="143"/>
      <c r="BT530" s="143"/>
      <c r="BU530" s="143"/>
      <c r="BV530" s="143"/>
      <c r="BW530" s="143"/>
      <c r="BX530" s="143"/>
      <c r="BY530" s="143"/>
      <c r="BZ530" s="143"/>
      <c r="CA530" s="143"/>
      <c r="CB530" s="143"/>
      <c r="CC530" s="143"/>
      <c r="CD530" s="143"/>
    </row>
    <row r="531" spans="1:82" ht="16.5" customHeight="1" x14ac:dyDescent="0.15">
      <c r="A531" s="35"/>
      <c r="B531" s="35"/>
      <c r="C531" s="35"/>
      <c r="D531" s="35"/>
      <c r="E531" s="35"/>
      <c r="F531" s="35"/>
      <c r="G531" s="35"/>
      <c r="H531" s="34"/>
      <c r="I531" s="36"/>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137"/>
      <c r="BK531" s="143"/>
      <c r="BL531" s="143"/>
      <c r="BM531" s="143"/>
      <c r="BN531" s="143"/>
      <c r="BO531" s="143"/>
      <c r="BP531" s="143"/>
      <c r="BQ531" s="143"/>
      <c r="BR531" s="143"/>
      <c r="BS531" s="143"/>
      <c r="BT531" s="143"/>
      <c r="BU531" s="143"/>
      <c r="BV531" s="143"/>
      <c r="BW531" s="143"/>
      <c r="BX531" s="143"/>
      <c r="BY531" s="143"/>
      <c r="BZ531" s="143"/>
      <c r="CA531" s="143"/>
      <c r="CB531" s="143"/>
      <c r="CC531" s="143"/>
      <c r="CD531" s="143"/>
    </row>
    <row r="532" spans="1:82" ht="16.5" customHeight="1" x14ac:dyDescent="0.15">
      <c r="A532" s="35"/>
      <c r="B532" s="35"/>
      <c r="C532" s="35"/>
      <c r="D532" s="35"/>
      <c r="E532" s="35"/>
      <c r="F532" s="35"/>
      <c r="G532" s="35"/>
      <c r="H532" s="34"/>
      <c r="I532" s="36"/>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137"/>
      <c r="BK532" s="143"/>
      <c r="BL532" s="143"/>
      <c r="BM532" s="143"/>
      <c r="BN532" s="143"/>
      <c r="BO532" s="143"/>
      <c r="BP532" s="143"/>
      <c r="BQ532" s="143"/>
      <c r="BR532" s="143"/>
      <c r="BS532" s="143"/>
      <c r="BT532" s="143"/>
      <c r="BU532" s="143"/>
      <c r="BV532" s="143"/>
      <c r="BW532" s="143"/>
      <c r="BX532" s="143"/>
      <c r="BY532" s="143"/>
      <c r="BZ532" s="143"/>
      <c r="CA532" s="143"/>
      <c r="CB532" s="143"/>
      <c r="CC532" s="143"/>
      <c r="CD532" s="143"/>
    </row>
    <row r="533" spans="1:82" ht="16.5" customHeight="1" x14ac:dyDescent="0.15">
      <c r="A533" s="35"/>
      <c r="B533" s="35"/>
      <c r="C533" s="35"/>
      <c r="D533" s="35"/>
      <c r="E533" s="35"/>
      <c r="F533" s="35"/>
      <c r="G533" s="35"/>
      <c r="H533" s="34"/>
      <c r="I533" s="36"/>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137"/>
      <c r="BK533" s="143"/>
      <c r="BL533" s="143"/>
      <c r="BM533" s="143"/>
      <c r="BN533" s="143"/>
      <c r="BO533" s="143"/>
      <c r="BP533" s="143"/>
      <c r="BQ533" s="143"/>
      <c r="BR533" s="143"/>
      <c r="BS533" s="143"/>
      <c r="BT533" s="143"/>
      <c r="BU533" s="143"/>
      <c r="BV533" s="143"/>
      <c r="BW533" s="143"/>
      <c r="BX533" s="143"/>
      <c r="BY533" s="143"/>
      <c r="BZ533" s="143"/>
      <c r="CA533" s="143"/>
      <c r="CB533" s="143"/>
      <c r="CC533" s="143"/>
      <c r="CD533" s="143"/>
    </row>
    <row r="534" spans="1:82" ht="16.5" customHeight="1" x14ac:dyDescent="0.15">
      <c r="A534" s="35"/>
      <c r="B534" s="35"/>
      <c r="C534" s="35"/>
      <c r="D534" s="35"/>
      <c r="E534" s="35"/>
      <c r="F534" s="35"/>
      <c r="G534" s="35"/>
      <c r="H534" s="34"/>
      <c r="I534" s="36"/>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137"/>
      <c r="BK534" s="143"/>
      <c r="BL534" s="143"/>
      <c r="BM534" s="143"/>
      <c r="BN534" s="143"/>
      <c r="BO534" s="143"/>
      <c r="BP534" s="143"/>
      <c r="BQ534" s="143"/>
      <c r="BR534" s="143"/>
      <c r="BS534" s="143"/>
      <c r="BT534" s="143"/>
      <c r="BU534" s="143"/>
      <c r="BV534" s="143"/>
      <c r="BW534" s="143"/>
      <c r="BX534" s="143"/>
      <c r="BY534" s="143"/>
      <c r="BZ534" s="143"/>
      <c r="CA534" s="143"/>
      <c r="CB534" s="143"/>
      <c r="CC534" s="143"/>
      <c r="CD534" s="143"/>
    </row>
    <row r="535" spans="1:82" ht="16.5" customHeight="1" x14ac:dyDescent="0.15">
      <c r="A535" s="35"/>
      <c r="B535" s="35"/>
      <c r="C535" s="35"/>
      <c r="D535" s="35"/>
      <c r="E535" s="35"/>
      <c r="F535" s="35"/>
      <c r="G535" s="35"/>
      <c r="H535" s="34"/>
      <c r="I535" s="36"/>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137"/>
      <c r="BK535" s="143"/>
      <c r="BL535" s="143"/>
      <c r="BM535" s="143"/>
      <c r="BN535" s="143"/>
      <c r="BO535" s="143"/>
      <c r="BP535" s="143"/>
      <c r="BQ535" s="143"/>
      <c r="BR535" s="143"/>
      <c r="BS535" s="143"/>
      <c r="BT535" s="143"/>
      <c r="BU535" s="143"/>
      <c r="BV535" s="143"/>
      <c r="BW535" s="143"/>
      <c r="BX535" s="143"/>
      <c r="BY535" s="143"/>
      <c r="BZ535" s="143"/>
      <c r="CA535" s="143"/>
      <c r="CB535" s="143"/>
      <c r="CC535" s="143"/>
      <c r="CD535" s="143"/>
    </row>
    <row r="536" spans="1:82" ht="16.5" customHeight="1" x14ac:dyDescent="0.15">
      <c r="A536" s="35"/>
      <c r="B536" s="35"/>
      <c r="C536" s="35"/>
      <c r="D536" s="35"/>
      <c r="E536" s="35"/>
      <c r="F536" s="35"/>
      <c r="G536" s="35"/>
      <c r="H536" s="34"/>
      <c r="I536" s="36"/>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137"/>
      <c r="BK536" s="143"/>
      <c r="BL536" s="143"/>
      <c r="BM536" s="143"/>
      <c r="BN536" s="143"/>
      <c r="BO536" s="143"/>
      <c r="BP536" s="143"/>
      <c r="BQ536" s="143"/>
      <c r="BR536" s="143"/>
      <c r="BS536" s="143"/>
      <c r="BT536" s="143"/>
      <c r="BU536" s="143"/>
      <c r="BV536" s="143"/>
      <c r="BW536" s="143"/>
      <c r="BX536" s="143"/>
      <c r="BY536" s="143"/>
      <c r="BZ536" s="143"/>
      <c r="CA536" s="143"/>
      <c r="CB536" s="143"/>
      <c r="CC536" s="143"/>
      <c r="CD536" s="143"/>
    </row>
    <row r="537" spans="1:82" ht="16.5" customHeight="1" x14ac:dyDescent="0.15">
      <c r="A537" s="35"/>
      <c r="B537" s="35"/>
      <c r="C537" s="35"/>
      <c r="D537" s="35"/>
      <c r="E537" s="35"/>
      <c r="F537" s="35"/>
      <c r="G537" s="35"/>
      <c r="H537" s="34"/>
      <c r="I537" s="36"/>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137"/>
      <c r="BK537" s="143"/>
      <c r="BL537" s="143"/>
      <c r="BM537" s="143"/>
      <c r="BN537" s="143"/>
      <c r="BO537" s="143"/>
      <c r="BP537" s="143"/>
      <c r="BQ537" s="143"/>
      <c r="BR537" s="143"/>
      <c r="BS537" s="143"/>
      <c r="BT537" s="143"/>
      <c r="BU537" s="143"/>
      <c r="BV537" s="143"/>
      <c r="BW537" s="143"/>
      <c r="BX537" s="143"/>
      <c r="BY537" s="143"/>
      <c r="BZ537" s="143"/>
      <c r="CA537" s="143"/>
      <c r="CB537" s="143"/>
      <c r="CC537" s="143"/>
      <c r="CD537" s="143"/>
    </row>
    <row r="538" spans="1:82" ht="16.5" customHeight="1" x14ac:dyDescent="0.15">
      <c r="A538" s="35"/>
      <c r="B538" s="35"/>
      <c r="C538" s="35"/>
      <c r="D538" s="35"/>
      <c r="E538" s="35"/>
      <c r="F538" s="35"/>
      <c r="G538" s="35"/>
      <c r="H538" s="34"/>
      <c r="I538" s="36"/>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137"/>
      <c r="BK538" s="143"/>
      <c r="BL538" s="143"/>
      <c r="BM538" s="143"/>
      <c r="BN538" s="143"/>
      <c r="BO538" s="143"/>
      <c r="BP538" s="143"/>
      <c r="BQ538" s="143"/>
      <c r="BR538" s="143"/>
      <c r="BS538" s="143"/>
      <c r="BT538" s="143"/>
      <c r="BU538" s="143"/>
      <c r="BV538" s="143"/>
      <c r="BW538" s="143"/>
      <c r="BX538" s="143"/>
      <c r="BY538" s="143"/>
      <c r="BZ538" s="143"/>
      <c r="CA538" s="143"/>
      <c r="CB538" s="143"/>
      <c r="CC538" s="143"/>
      <c r="CD538" s="143"/>
    </row>
    <row r="539" spans="1:82" ht="16.5" customHeight="1" x14ac:dyDescent="0.15">
      <c r="A539" s="35"/>
      <c r="B539" s="35"/>
      <c r="C539" s="35"/>
      <c r="D539" s="35"/>
      <c r="E539" s="35"/>
      <c r="F539" s="35"/>
      <c r="G539" s="35"/>
      <c r="H539" s="34"/>
      <c r="I539" s="36"/>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137"/>
      <c r="BK539" s="143"/>
      <c r="BL539" s="143"/>
      <c r="BM539" s="143"/>
      <c r="BN539" s="143"/>
      <c r="BO539" s="143"/>
      <c r="BP539" s="143"/>
      <c r="BQ539" s="143"/>
      <c r="BR539" s="143"/>
      <c r="BS539" s="143"/>
      <c r="BT539" s="143"/>
      <c r="BU539" s="143"/>
      <c r="BV539" s="143"/>
      <c r="BW539" s="143"/>
      <c r="BX539" s="143"/>
      <c r="BY539" s="143"/>
      <c r="BZ539" s="143"/>
      <c r="CA539" s="143"/>
      <c r="CB539" s="143"/>
      <c r="CC539" s="143"/>
      <c r="CD539" s="143"/>
    </row>
    <row r="540" spans="1:82" ht="16.5" customHeight="1" x14ac:dyDescent="0.15">
      <c r="A540" s="35"/>
      <c r="B540" s="35"/>
      <c r="C540" s="35"/>
      <c r="D540" s="35"/>
      <c r="E540" s="35"/>
      <c r="F540" s="35"/>
      <c r="G540" s="35"/>
      <c r="H540" s="34"/>
      <c r="I540" s="36"/>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137"/>
      <c r="BK540" s="143"/>
      <c r="BL540" s="143"/>
      <c r="BM540" s="143"/>
      <c r="BN540" s="143"/>
      <c r="BO540" s="143"/>
      <c r="BP540" s="143"/>
      <c r="BQ540" s="143"/>
      <c r="BR540" s="143"/>
      <c r="BS540" s="143"/>
      <c r="BT540" s="143"/>
      <c r="BU540" s="143"/>
      <c r="BV540" s="143"/>
      <c r="BW540" s="143"/>
      <c r="BX540" s="143"/>
      <c r="BY540" s="143"/>
      <c r="BZ540" s="143"/>
      <c r="CA540" s="143"/>
      <c r="CB540" s="143"/>
      <c r="CC540" s="143"/>
      <c r="CD540" s="143"/>
    </row>
    <row r="541" spans="1:82" ht="16.5" customHeight="1" x14ac:dyDescent="0.15">
      <c r="A541" s="35"/>
      <c r="B541" s="35"/>
      <c r="C541" s="35"/>
      <c r="D541" s="35"/>
      <c r="E541" s="35"/>
      <c r="F541" s="35"/>
      <c r="G541" s="35"/>
      <c r="H541" s="34"/>
      <c r="I541" s="36"/>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137"/>
      <c r="BK541" s="143"/>
      <c r="BL541" s="143"/>
      <c r="BM541" s="143"/>
      <c r="BN541" s="143"/>
      <c r="BO541" s="143"/>
      <c r="BP541" s="143"/>
      <c r="BQ541" s="143"/>
      <c r="BR541" s="143"/>
      <c r="BS541" s="143"/>
      <c r="BT541" s="143"/>
      <c r="BU541" s="143"/>
      <c r="BV541" s="143"/>
      <c r="BW541" s="143"/>
      <c r="BX541" s="143"/>
      <c r="BY541" s="143"/>
      <c r="BZ541" s="143"/>
      <c r="CA541" s="143"/>
      <c r="CB541" s="143"/>
      <c r="CC541" s="143"/>
      <c r="CD541" s="143"/>
    </row>
    <row r="542" spans="1:82" ht="16.5" customHeight="1" x14ac:dyDescent="0.15">
      <c r="A542" s="35"/>
      <c r="B542" s="35"/>
      <c r="C542" s="35"/>
      <c r="D542" s="35"/>
      <c r="E542" s="35"/>
      <c r="F542" s="35"/>
      <c r="G542" s="35"/>
      <c r="H542" s="34"/>
      <c r="I542" s="36"/>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137"/>
      <c r="BK542" s="143"/>
      <c r="BL542" s="143"/>
      <c r="BM542" s="143"/>
      <c r="BN542" s="143"/>
      <c r="BO542" s="143"/>
      <c r="BP542" s="143"/>
      <c r="BQ542" s="143"/>
      <c r="BR542" s="143"/>
      <c r="BS542" s="143"/>
      <c r="BT542" s="143"/>
      <c r="BU542" s="143"/>
      <c r="BV542" s="143"/>
      <c r="BW542" s="143"/>
      <c r="BX542" s="143"/>
      <c r="BY542" s="143"/>
      <c r="BZ542" s="143"/>
      <c r="CA542" s="143"/>
      <c r="CB542" s="143"/>
      <c r="CC542" s="143"/>
      <c r="CD542" s="143"/>
    </row>
    <row r="543" spans="1:82" ht="16.5" customHeight="1" x14ac:dyDescent="0.15">
      <c r="A543" s="35"/>
      <c r="B543" s="35"/>
      <c r="C543" s="35"/>
      <c r="D543" s="35"/>
      <c r="E543" s="35"/>
      <c r="F543" s="35"/>
      <c r="G543" s="35"/>
      <c r="H543" s="34"/>
      <c r="I543" s="36"/>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137"/>
      <c r="BK543" s="143"/>
      <c r="BL543" s="143"/>
      <c r="BM543" s="143"/>
      <c r="BN543" s="143"/>
      <c r="BO543" s="143"/>
      <c r="BP543" s="143"/>
      <c r="BQ543" s="143"/>
      <c r="BR543" s="143"/>
      <c r="BS543" s="143"/>
      <c r="BT543" s="143"/>
      <c r="BU543" s="143"/>
      <c r="BV543" s="143"/>
      <c r="BW543" s="143"/>
      <c r="BX543" s="143"/>
      <c r="BY543" s="143"/>
      <c r="BZ543" s="143"/>
      <c r="CA543" s="143"/>
      <c r="CB543" s="143"/>
      <c r="CC543" s="143"/>
      <c r="CD543" s="143"/>
    </row>
    <row r="544" spans="1:82" ht="16.5" customHeight="1" x14ac:dyDescent="0.15">
      <c r="A544" s="35"/>
      <c r="B544" s="35"/>
      <c r="C544" s="35"/>
      <c r="D544" s="35"/>
      <c r="E544" s="35"/>
      <c r="F544" s="35"/>
      <c r="G544" s="35"/>
      <c r="H544" s="34"/>
      <c r="I544" s="36"/>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137"/>
      <c r="BK544" s="143"/>
      <c r="BL544" s="143"/>
      <c r="BM544" s="143"/>
      <c r="BN544" s="143"/>
      <c r="BO544" s="143"/>
      <c r="BP544" s="143"/>
      <c r="BQ544" s="143"/>
      <c r="BR544" s="143"/>
      <c r="BS544" s="143"/>
      <c r="BT544" s="143"/>
      <c r="BU544" s="143"/>
      <c r="BV544" s="143"/>
      <c r="BW544" s="143"/>
      <c r="BX544" s="143"/>
      <c r="BY544" s="143"/>
      <c r="BZ544" s="143"/>
      <c r="CA544" s="143"/>
      <c r="CB544" s="143"/>
      <c r="CC544" s="143"/>
      <c r="CD544" s="143"/>
    </row>
    <row r="545" spans="1:82" ht="16.5" customHeight="1" x14ac:dyDescent="0.15">
      <c r="A545" s="35"/>
      <c r="B545" s="35"/>
      <c r="C545" s="35"/>
      <c r="D545" s="35"/>
      <c r="E545" s="35"/>
      <c r="F545" s="35"/>
      <c r="G545" s="35"/>
      <c r="H545" s="34"/>
      <c r="I545" s="36"/>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137"/>
      <c r="BK545" s="143"/>
      <c r="BL545" s="143"/>
      <c r="BM545" s="143"/>
      <c r="BN545" s="143"/>
      <c r="BO545" s="143"/>
      <c r="BP545" s="143"/>
      <c r="BQ545" s="143"/>
      <c r="BR545" s="143"/>
      <c r="BS545" s="143"/>
      <c r="BT545" s="143"/>
      <c r="BU545" s="143"/>
      <c r="BV545" s="143"/>
      <c r="BW545" s="143"/>
      <c r="BX545" s="143"/>
      <c r="BY545" s="143"/>
      <c r="BZ545" s="143"/>
      <c r="CA545" s="143"/>
      <c r="CB545" s="143"/>
      <c r="CC545" s="143"/>
      <c r="CD545" s="143"/>
    </row>
    <row r="546" spans="1:82" ht="16.5" customHeight="1" x14ac:dyDescent="0.15">
      <c r="A546" s="35"/>
      <c r="B546" s="35"/>
      <c r="C546" s="35"/>
      <c r="D546" s="35"/>
      <c r="E546" s="35"/>
      <c r="F546" s="35"/>
      <c r="G546" s="35"/>
      <c r="H546" s="34"/>
      <c r="I546" s="36"/>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137"/>
      <c r="BK546" s="143"/>
      <c r="BL546" s="143"/>
      <c r="BM546" s="143"/>
      <c r="BN546" s="143"/>
      <c r="BO546" s="143"/>
      <c r="BP546" s="143"/>
      <c r="BQ546" s="143"/>
      <c r="BR546" s="143"/>
      <c r="BS546" s="143"/>
      <c r="BT546" s="143"/>
      <c r="BU546" s="143"/>
      <c r="BV546" s="143"/>
      <c r="BW546" s="143"/>
      <c r="BX546" s="143"/>
      <c r="BY546" s="143"/>
      <c r="BZ546" s="143"/>
      <c r="CA546" s="143"/>
      <c r="CB546" s="143"/>
      <c r="CC546" s="143"/>
      <c r="CD546" s="143"/>
    </row>
    <row r="547" spans="1:82" ht="16.5" customHeight="1" x14ac:dyDescent="0.15">
      <c r="A547" s="35"/>
      <c r="B547" s="35"/>
      <c r="C547" s="35"/>
      <c r="D547" s="35"/>
      <c r="E547" s="35"/>
      <c r="F547" s="35"/>
      <c r="G547" s="35"/>
      <c r="H547" s="34"/>
      <c r="I547" s="36"/>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137"/>
      <c r="BK547" s="143"/>
      <c r="BL547" s="143"/>
      <c r="BM547" s="143"/>
      <c r="BN547" s="143"/>
      <c r="BO547" s="143"/>
      <c r="BP547" s="143"/>
      <c r="BQ547" s="143"/>
      <c r="BR547" s="143"/>
      <c r="BS547" s="143"/>
      <c r="BT547" s="143"/>
      <c r="BU547" s="143"/>
      <c r="BV547" s="143"/>
      <c r="BW547" s="143"/>
      <c r="BX547" s="143"/>
      <c r="BY547" s="143"/>
      <c r="BZ547" s="143"/>
      <c r="CA547" s="143"/>
      <c r="CB547" s="143"/>
      <c r="CC547" s="143"/>
      <c r="CD547" s="143"/>
    </row>
    <row r="548" spans="1:82" ht="16.5" customHeight="1" x14ac:dyDescent="0.15">
      <c r="A548" s="35"/>
      <c r="B548" s="35"/>
      <c r="C548" s="35"/>
      <c r="D548" s="35"/>
      <c r="E548" s="35"/>
      <c r="F548" s="35"/>
      <c r="G548" s="35"/>
      <c r="H548" s="34"/>
      <c r="I548" s="36"/>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137"/>
      <c r="BK548" s="143"/>
      <c r="BL548" s="143"/>
      <c r="BM548" s="143"/>
      <c r="BN548" s="143"/>
      <c r="BO548" s="143"/>
      <c r="BP548" s="143"/>
      <c r="BQ548" s="143"/>
      <c r="BR548" s="143"/>
      <c r="BS548" s="143"/>
      <c r="BT548" s="143"/>
      <c r="BU548" s="143"/>
      <c r="BV548" s="143"/>
      <c r="BW548" s="143"/>
      <c r="BX548" s="143"/>
      <c r="BY548" s="143"/>
      <c r="BZ548" s="143"/>
      <c r="CA548" s="143"/>
      <c r="CB548" s="143"/>
      <c r="CC548" s="143"/>
      <c r="CD548" s="143"/>
    </row>
    <row r="549" spans="1:82" ht="16.5" customHeight="1" x14ac:dyDescent="0.15">
      <c r="A549" s="35"/>
      <c r="B549" s="35"/>
      <c r="C549" s="35"/>
      <c r="D549" s="35"/>
      <c r="E549" s="35"/>
      <c r="F549" s="35"/>
      <c r="G549" s="35"/>
      <c r="H549" s="34"/>
      <c r="I549" s="36"/>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137"/>
      <c r="BK549" s="143"/>
      <c r="BL549" s="143"/>
      <c r="BM549" s="143"/>
      <c r="BN549" s="143"/>
      <c r="BO549" s="143"/>
      <c r="BP549" s="143"/>
      <c r="BQ549" s="143"/>
      <c r="BR549" s="143"/>
      <c r="BS549" s="143"/>
      <c r="BT549" s="143"/>
      <c r="BU549" s="143"/>
      <c r="BV549" s="143"/>
      <c r="BW549" s="143"/>
      <c r="BX549" s="143"/>
      <c r="BY549" s="143"/>
      <c r="BZ549" s="143"/>
      <c r="CA549" s="143"/>
      <c r="CB549" s="143"/>
      <c r="CC549" s="143"/>
      <c r="CD549" s="143"/>
    </row>
    <row r="550" spans="1:82" ht="16.5" customHeight="1" x14ac:dyDescent="0.15">
      <c r="A550" s="35"/>
      <c r="B550" s="35"/>
      <c r="C550" s="35"/>
      <c r="D550" s="35"/>
      <c r="E550" s="35"/>
      <c r="F550" s="35"/>
      <c r="G550" s="35"/>
      <c r="H550" s="34"/>
      <c r="I550" s="36"/>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137"/>
      <c r="BK550" s="143"/>
      <c r="BL550" s="143"/>
      <c r="BM550" s="143"/>
      <c r="BN550" s="143"/>
      <c r="BO550" s="143"/>
      <c r="BP550" s="143"/>
      <c r="BQ550" s="143"/>
      <c r="BR550" s="143"/>
      <c r="BS550" s="143"/>
      <c r="BT550" s="143"/>
      <c r="BU550" s="143"/>
      <c r="BV550" s="143"/>
      <c r="BW550" s="143"/>
      <c r="BX550" s="143"/>
      <c r="BY550" s="143"/>
      <c r="BZ550" s="143"/>
      <c r="CA550" s="143"/>
      <c r="CB550" s="143"/>
      <c r="CC550" s="143"/>
      <c r="CD550" s="143"/>
    </row>
    <row r="551" spans="1:82" ht="16.5" customHeight="1" x14ac:dyDescent="0.15">
      <c r="A551" s="35"/>
      <c r="B551" s="35"/>
      <c r="C551" s="35"/>
      <c r="D551" s="35"/>
      <c r="E551" s="35"/>
      <c r="F551" s="35"/>
      <c r="G551" s="35"/>
      <c r="H551" s="34"/>
      <c r="I551" s="36"/>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137"/>
      <c r="BK551" s="143"/>
      <c r="BL551" s="143"/>
      <c r="BM551" s="143"/>
      <c r="BN551" s="143"/>
      <c r="BO551" s="143"/>
      <c r="BP551" s="143"/>
      <c r="BQ551" s="143"/>
      <c r="BR551" s="143"/>
      <c r="BS551" s="143"/>
      <c r="BT551" s="143"/>
      <c r="BU551" s="143"/>
      <c r="BV551" s="143"/>
      <c r="BW551" s="143"/>
      <c r="BX551" s="143"/>
      <c r="BY551" s="143"/>
      <c r="BZ551" s="143"/>
      <c r="CA551" s="143"/>
      <c r="CB551" s="143"/>
      <c r="CC551" s="143"/>
      <c r="CD551" s="143"/>
    </row>
    <row r="552" spans="1:82" ht="16.5" customHeight="1" x14ac:dyDescent="0.15">
      <c r="A552" s="35"/>
      <c r="B552" s="35"/>
      <c r="C552" s="35"/>
      <c r="D552" s="35"/>
      <c r="E552" s="35"/>
      <c r="F552" s="35"/>
      <c r="G552" s="35"/>
      <c r="H552" s="34"/>
      <c r="I552" s="36"/>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137"/>
      <c r="BK552" s="143"/>
      <c r="BL552" s="143"/>
      <c r="BM552" s="143"/>
      <c r="BN552" s="143"/>
      <c r="BO552" s="143"/>
      <c r="BP552" s="143"/>
      <c r="BQ552" s="143"/>
      <c r="BR552" s="143"/>
      <c r="BS552" s="143"/>
      <c r="BT552" s="143"/>
      <c r="BU552" s="143"/>
      <c r="BV552" s="143"/>
      <c r="BW552" s="143"/>
      <c r="BX552" s="143"/>
      <c r="BY552" s="143"/>
      <c r="BZ552" s="143"/>
      <c r="CA552" s="143"/>
      <c r="CB552" s="143"/>
      <c r="CC552" s="143"/>
      <c r="CD552" s="143"/>
    </row>
    <row r="553" spans="1:82" ht="16.5" customHeight="1" x14ac:dyDescent="0.15">
      <c r="A553" s="35"/>
      <c r="B553" s="35"/>
      <c r="C553" s="35"/>
      <c r="D553" s="35"/>
      <c r="E553" s="35"/>
      <c r="F553" s="35"/>
      <c r="G553" s="35"/>
      <c r="H553" s="34"/>
      <c r="I553" s="36"/>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137"/>
      <c r="BK553" s="143"/>
      <c r="BL553" s="143"/>
      <c r="BM553" s="143"/>
      <c r="BN553" s="143"/>
      <c r="BO553" s="143"/>
      <c r="BP553" s="143"/>
      <c r="BQ553" s="143"/>
      <c r="BR553" s="143"/>
      <c r="BS553" s="143"/>
      <c r="BT553" s="143"/>
      <c r="BU553" s="143"/>
      <c r="BV553" s="143"/>
      <c r="BW553" s="143"/>
      <c r="BX553" s="143"/>
      <c r="BY553" s="143"/>
      <c r="BZ553" s="143"/>
      <c r="CA553" s="143"/>
      <c r="CB553" s="143"/>
      <c r="CC553" s="143"/>
      <c r="CD553" s="143"/>
    </row>
    <row r="554" spans="1:82" ht="16.5" customHeight="1" x14ac:dyDescent="0.15">
      <c r="A554" s="35"/>
      <c r="B554" s="35"/>
      <c r="C554" s="35"/>
      <c r="D554" s="35"/>
      <c r="E554" s="35"/>
      <c r="F554" s="35"/>
      <c r="G554" s="35"/>
      <c r="H554" s="34"/>
      <c r="I554" s="36"/>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137"/>
      <c r="BK554" s="143"/>
      <c r="BL554" s="143"/>
      <c r="BM554" s="143"/>
      <c r="BN554" s="143"/>
      <c r="BO554" s="143"/>
      <c r="BP554" s="143"/>
      <c r="BQ554" s="143"/>
      <c r="BR554" s="143"/>
      <c r="BS554" s="143"/>
      <c r="BT554" s="143"/>
      <c r="BU554" s="143"/>
      <c r="BV554" s="143"/>
      <c r="BW554" s="143"/>
      <c r="BX554" s="143"/>
      <c r="BY554" s="143"/>
      <c r="BZ554" s="143"/>
      <c r="CA554" s="143"/>
      <c r="CB554" s="143"/>
      <c r="CC554" s="143"/>
      <c r="CD554" s="143"/>
    </row>
    <row r="555" spans="1:82" ht="16.5" customHeight="1" x14ac:dyDescent="0.15">
      <c r="A555" s="35"/>
      <c r="B555" s="35"/>
      <c r="C555" s="35"/>
      <c r="D555" s="35"/>
      <c r="E555" s="35"/>
      <c r="F555" s="35"/>
      <c r="G555" s="35"/>
      <c r="H555" s="34"/>
      <c r="I555" s="36"/>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137"/>
      <c r="BK555" s="143"/>
      <c r="BL555" s="143"/>
      <c r="BM555" s="143"/>
      <c r="BN555" s="143"/>
      <c r="BO555" s="143"/>
      <c r="BP555" s="143"/>
      <c r="BQ555" s="143"/>
      <c r="BR555" s="143"/>
      <c r="BS555" s="143"/>
      <c r="BT555" s="143"/>
      <c r="BU555" s="143"/>
      <c r="BV555" s="143"/>
      <c r="BW555" s="143"/>
      <c r="BX555" s="143"/>
      <c r="BY555" s="143"/>
      <c r="BZ555" s="143"/>
      <c r="CA555" s="143"/>
      <c r="CB555" s="143"/>
      <c r="CC555" s="143"/>
      <c r="CD555" s="143"/>
    </row>
    <row r="556" spans="1:82" ht="16.5" customHeight="1" x14ac:dyDescent="0.15">
      <c r="A556" s="35"/>
      <c r="B556" s="35"/>
      <c r="C556" s="35"/>
      <c r="D556" s="35"/>
      <c r="E556" s="35"/>
      <c r="F556" s="35"/>
      <c r="G556" s="35"/>
      <c r="H556" s="34"/>
      <c r="I556" s="36"/>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137"/>
      <c r="BK556" s="143"/>
      <c r="BL556" s="143"/>
      <c r="BM556" s="143"/>
      <c r="BN556" s="143"/>
      <c r="BO556" s="143"/>
      <c r="BP556" s="143"/>
      <c r="BQ556" s="143"/>
      <c r="BR556" s="143"/>
      <c r="BS556" s="143"/>
      <c r="BT556" s="143"/>
      <c r="BU556" s="143"/>
      <c r="BV556" s="143"/>
      <c r="BW556" s="143"/>
      <c r="BX556" s="143"/>
      <c r="BY556" s="143"/>
      <c r="BZ556" s="143"/>
      <c r="CA556" s="143"/>
      <c r="CB556" s="143"/>
      <c r="CC556" s="143"/>
      <c r="CD556" s="143"/>
    </row>
    <row r="557" spans="1:82" ht="16.5" customHeight="1" x14ac:dyDescent="0.15">
      <c r="A557" s="35"/>
      <c r="B557" s="35"/>
      <c r="C557" s="35"/>
      <c r="D557" s="35"/>
      <c r="E557" s="35"/>
      <c r="F557" s="35"/>
      <c r="G557" s="35"/>
      <c r="H557" s="34"/>
      <c r="I557" s="36"/>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137"/>
      <c r="BK557" s="143"/>
      <c r="BL557" s="143"/>
      <c r="BM557" s="143"/>
      <c r="BN557" s="143"/>
      <c r="BO557" s="143"/>
      <c r="BP557" s="143"/>
      <c r="BQ557" s="143"/>
      <c r="BR557" s="143"/>
      <c r="BS557" s="143"/>
      <c r="BT557" s="143"/>
      <c r="BU557" s="143"/>
      <c r="BV557" s="143"/>
      <c r="BW557" s="143"/>
      <c r="BX557" s="143"/>
      <c r="BY557" s="143"/>
      <c r="BZ557" s="143"/>
      <c r="CA557" s="143"/>
      <c r="CB557" s="143"/>
      <c r="CC557" s="143"/>
      <c r="CD557" s="143"/>
    </row>
    <row r="558" spans="1:82" ht="16.5" customHeight="1" x14ac:dyDescent="0.15">
      <c r="A558" s="35"/>
      <c r="B558" s="35"/>
      <c r="C558" s="35"/>
      <c r="D558" s="35"/>
      <c r="E558" s="35"/>
      <c r="F558" s="35"/>
      <c r="G558" s="35"/>
      <c r="H558" s="34"/>
      <c r="I558" s="36"/>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137"/>
      <c r="BK558" s="143"/>
      <c r="BL558" s="143"/>
      <c r="BM558" s="143"/>
      <c r="BN558" s="143"/>
      <c r="BO558" s="143"/>
      <c r="BP558" s="143"/>
      <c r="BQ558" s="143"/>
      <c r="BR558" s="143"/>
      <c r="BS558" s="143"/>
      <c r="BT558" s="143"/>
      <c r="BU558" s="143"/>
      <c r="BV558" s="143"/>
      <c r="BW558" s="143"/>
      <c r="BX558" s="143"/>
      <c r="BY558" s="143"/>
      <c r="BZ558" s="143"/>
      <c r="CA558" s="143"/>
      <c r="CB558" s="143"/>
      <c r="CC558" s="143"/>
      <c r="CD558" s="143"/>
    </row>
    <row r="559" spans="1:82" ht="16.5" customHeight="1" x14ac:dyDescent="0.15">
      <c r="A559" s="35"/>
      <c r="B559" s="35"/>
      <c r="C559" s="35"/>
      <c r="D559" s="35"/>
      <c r="E559" s="35"/>
      <c r="F559" s="35"/>
      <c r="G559" s="35"/>
      <c r="H559" s="34"/>
      <c r="I559" s="36"/>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137"/>
      <c r="BK559" s="143"/>
      <c r="BL559" s="143"/>
      <c r="BM559" s="143"/>
      <c r="BN559" s="143"/>
      <c r="BO559" s="143"/>
      <c r="BP559" s="143"/>
      <c r="BQ559" s="143"/>
      <c r="BR559" s="143"/>
      <c r="BS559" s="143"/>
      <c r="BT559" s="143"/>
      <c r="BU559" s="143"/>
      <c r="BV559" s="143"/>
      <c r="BW559" s="143"/>
      <c r="BX559" s="143"/>
      <c r="BY559" s="143"/>
      <c r="BZ559" s="143"/>
      <c r="CA559" s="143"/>
      <c r="CB559" s="143"/>
      <c r="CC559" s="143"/>
      <c r="CD559" s="143"/>
    </row>
    <row r="560" spans="1:82" ht="16.5" customHeight="1" x14ac:dyDescent="0.15">
      <c r="A560" s="35"/>
      <c r="B560" s="35"/>
      <c r="C560" s="35"/>
      <c r="D560" s="35"/>
      <c r="E560" s="35"/>
      <c r="F560" s="35"/>
      <c r="G560" s="35"/>
      <c r="H560" s="34"/>
      <c r="I560" s="36"/>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137"/>
      <c r="BK560" s="143"/>
      <c r="BL560" s="143"/>
      <c r="BM560" s="143"/>
      <c r="BN560" s="143"/>
      <c r="BO560" s="143"/>
      <c r="BP560" s="143"/>
      <c r="BQ560" s="143"/>
      <c r="BR560" s="143"/>
      <c r="BS560" s="143"/>
      <c r="BT560" s="143"/>
      <c r="BU560" s="143"/>
      <c r="BV560" s="143"/>
      <c r="BW560" s="143"/>
      <c r="BX560" s="143"/>
      <c r="BY560" s="143"/>
      <c r="BZ560" s="143"/>
      <c r="CA560" s="143"/>
      <c r="CB560" s="143"/>
      <c r="CC560" s="143"/>
      <c r="CD560" s="143"/>
    </row>
    <row r="561" spans="1:82" ht="16.5" customHeight="1" x14ac:dyDescent="0.15">
      <c r="A561" s="35"/>
      <c r="B561" s="35"/>
      <c r="C561" s="35"/>
      <c r="D561" s="35"/>
      <c r="E561" s="35"/>
      <c r="F561" s="35"/>
      <c r="G561" s="35"/>
      <c r="H561" s="34"/>
      <c r="I561" s="36"/>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137"/>
      <c r="BK561" s="143"/>
      <c r="BL561" s="143"/>
      <c r="BM561" s="143"/>
      <c r="BN561" s="143"/>
      <c r="BO561" s="143"/>
      <c r="BP561" s="143"/>
      <c r="BQ561" s="143"/>
      <c r="BR561" s="143"/>
      <c r="BS561" s="143"/>
      <c r="BT561" s="143"/>
      <c r="BU561" s="143"/>
      <c r="BV561" s="143"/>
      <c r="BW561" s="143"/>
      <c r="BX561" s="143"/>
      <c r="BY561" s="143"/>
      <c r="BZ561" s="143"/>
      <c r="CA561" s="143"/>
      <c r="CB561" s="143"/>
      <c r="CC561" s="143"/>
      <c r="CD561" s="143"/>
    </row>
    <row r="562" spans="1:82" ht="16.5" customHeight="1" x14ac:dyDescent="0.15">
      <c r="A562" s="35"/>
      <c r="B562" s="35"/>
      <c r="C562" s="35"/>
      <c r="D562" s="35"/>
      <c r="E562" s="35"/>
      <c r="F562" s="35"/>
      <c r="G562" s="35"/>
      <c r="H562" s="34"/>
      <c r="I562" s="36"/>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137"/>
      <c r="BK562" s="143"/>
      <c r="BL562" s="143"/>
      <c r="BM562" s="143"/>
      <c r="BN562" s="143"/>
      <c r="BO562" s="143"/>
      <c r="BP562" s="143"/>
      <c r="BQ562" s="143"/>
      <c r="BR562" s="143"/>
      <c r="BS562" s="143"/>
      <c r="BT562" s="143"/>
      <c r="BU562" s="143"/>
      <c r="BV562" s="143"/>
      <c r="BW562" s="143"/>
      <c r="BX562" s="143"/>
      <c r="BY562" s="143"/>
      <c r="BZ562" s="143"/>
      <c r="CA562" s="143"/>
      <c r="CB562" s="143"/>
      <c r="CC562" s="143"/>
      <c r="CD562" s="143"/>
    </row>
    <row r="563" spans="1:82" ht="16.5" customHeight="1" x14ac:dyDescent="0.15">
      <c r="A563" s="35"/>
      <c r="B563" s="35"/>
      <c r="C563" s="35"/>
      <c r="D563" s="35"/>
      <c r="E563" s="35"/>
      <c r="F563" s="35"/>
      <c r="G563" s="35"/>
      <c r="H563" s="34"/>
      <c r="I563" s="36"/>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137"/>
      <c r="BK563" s="143"/>
      <c r="BL563" s="143"/>
      <c r="BM563" s="143"/>
      <c r="BN563" s="143"/>
      <c r="BO563" s="143"/>
      <c r="BP563" s="143"/>
      <c r="BQ563" s="143"/>
      <c r="BR563" s="143"/>
      <c r="BS563" s="143"/>
      <c r="BT563" s="143"/>
      <c r="BU563" s="143"/>
      <c r="BV563" s="143"/>
      <c r="BW563" s="143"/>
      <c r="BX563" s="143"/>
      <c r="BY563" s="143"/>
      <c r="BZ563" s="143"/>
      <c r="CA563" s="143"/>
      <c r="CB563" s="143"/>
      <c r="CC563" s="143"/>
      <c r="CD563" s="143"/>
    </row>
    <row r="564" spans="1:82" ht="16.5" customHeight="1" x14ac:dyDescent="0.15">
      <c r="A564" s="35"/>
      <c r="B564" s="35"/>
      <c r="C564" s="35"/>
      <c r="D564" s="35"/>
      <c r="E564" s="35"/>
      <c r="F564" s="35"/>
      <c r="G564" s="35"/>
      <c r="H564" s="34"/>
      <c r="I564" s="36"/>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137"/>
      <c r="BK564" s="143"/>
      <c r="BL564" s="143"/>
      <c r="BM564" s="143"/>
      <c r="BN564" s="143"/>
      <c r="BO564" s="143"/>
      <c r="BP564" s="143"/>
      <c r="BQ564" s="143"/>
      <c r="BR564" s="143"/>
      <c r="BS564" s="143"/>
      <c r="BT564" s="143"/>
      <c r="BU564" s="143"/>
      <c r="BV564" s="143"/>
      <c r="BW564" s="143"/>
      <c r="BX564" s="143"/>
      <c r="BY564" s="143"/>
      <c r="BZ564" s="143"/>
      <c r="CA564" s="143"/>
      <c r="CB564" s="143"/>
      <c r="CC564" s="143"/>
      <c r="CD564" s="143"/>
    </row>
    <row r="565" spans="1:82" ht="16.5" customHeight="1" x14ac:dyDescent="0.15">
      <c r="A565" s="35"/>
      <c r="B565" s="35"/>
      <c r="C565" s="35"/>
      <c r="D565" s="35"/>
      <c r="E565" s="35"/>
      <c r="F565" s="35"/>
      <c r="G565" s="35"/>
      <c r="H565" s="34"/>
      <c r="I565" s="36"/>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137"/>
      <c r="BK565" s="143"/>
      <c r="BL565" s="143"/>
      <c r="BM565" s="143"/>
      <c r="BN565" s="143"/>
      <c r="BO565" s="143"/>
      <c r="BP565" s="143"/>
      <c r="BQ565" s="143"/>
      <c r="BR565" s="143"/>
      <c r="BS565" s="143"/>
      <c r="BT565" s="143"/>
      <c r="BU565" s="143"/>
      <c r="BV565" s="143"/>
      <c r="BW565" s="143"/>
      <c r="BX565" s="143"/>
      <c r="BY565" s="143"/>
      <c r="BZ565" s="143"/>
      <c r="CA565" s="143"/>
      <c r="CB565" s="143"/>
      <c r="CC565" s="143"/>
      <c r="CD565" s="143"/>
    </row>
    <row r="566" spans="1:82" ht="16.5" customHeight="1" x14ac:dyDescent="0.15">
      <c r="A566" s="35"/>
      <c r="B566" s="35"/>
      <c r="C566" s="35"/>
      <c r="D566" s="35"/>
      <c r="E566" s="35"/>
      <c r="F566" s="35"/>
      <c r="G566" s="35"/>
      <c r="H566" s="34"/>
      <c r="I566" s="36"/>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137"/>
      <c r="BK566" s="143"/>
      <c r="BL566" s="143"/>
      <c r="BM566" s="143"/>
      <c r="BN566" s="143"/>
      <c r="BO566" s="143"/>
      <c r="BP566" s="143"/>
      <c r="BQ566" s="143"/>
      <c r="BR566" s="143"/>
      <c r="BS566" s="143"/>
      <c r="BT566" s="143"/>
      <c r="BU566" s="143"/>
      <c r="BV566" s="143"/>
      <c r="BW566" s="143"/>
      <c r="BX566" s="143"/>
      <c r="BY566" s="143"/>
      <c r="BZ566" s="143"/>
      <c r="CA566" s="143"/>
      <c r="CB566" s="143"/>
      <c r="CC566" s="143"/>
      <c r="CD566" s="143"/>
    </row>
    <row r="567" spans="1:82" ht="16.5" customHeight="1" x14ac:dyDescent="0.15">
      <c r="A567" s="35"/>
      <c r="B567" s="35"/>
      <c r="C567" s="35"/>
      <c r="D567" s="35"/>
      <c r="E567" s="35"/>
      <c r="F567" s="35"/>
      <c r="G567" s="35"/>
      <c r="H567" s="34"/>
      <c r="I567" s="36"/>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137"/>
      <c r="BK567" s="143"/>
      <c r="BL567" s="143"/>
      <c r="BM567" s="143"/>
      <c r="BN567" s="143"/>
      <c r="BO567" s="143"/>
      <c r="BP567" s="143"/>
      <c r="BQ567" s="143"/>
      <c r="BR567" s="143"/>
      <c r="BS567" s="143"/>
      <c r="BT567" s="143"/>
      <c r="BU567" s="143"/>
      <c r="BV567" s="143"/>
      <c r="BW567" s="143"/>
      <c r="BX567" s="143"/>
      <c r="BY567" s="143"/>
      <c r="BZ567" s="143"/>
      <c r="CA567" s="143"/>
      <c r="CB567" s="143"/>
      <c r="CC567" s="143"/>
      <c r="CD567" s="143"/>
    </row>
    <row r="568" spans="1:82" ht="16.5" customHeight="1" x14ac:dyDescent="0.15">
      <c r="A568" s="35"/>
      <c r="B568" s="35"/>
      <c r="C568" s="35"/>
      <c r="D568" s="35"/>
      <c r="E568" s="35"/>
      <c r="F568" s="35"/>
      <c r="G568" s="35"/>
      <c r="H568" s="34"/>
      <c r="I568" s="36"/>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137"/>
      <c r="BK568" s="143"/>
      <c r="BL568" s="143"/>
      <c r="BM568" s="143"/>
      <c r="BN568" s="143"/>
      <c r="BO568" s="143"/>
      <c r="BP568" s="143"/>
      <c r="BQ568" s="143"/>
      <c r="BR568" s="143"/>
      <c r="BS568" s="143"/>
      <c r="BT568" s="143"/>
      <c r="BU568" s="143"/>
      <c r="BV568" s="143"/>
      <c r="BW568" s="143"/>
      <c r="BX568" s="143"/>
      <c r="BY568" s="143"/>
      <c r="BZ568" s="143"/>
      <c r="CA568" s="143"/>
      <c r="CB568" s="143"/>
      <c r="CC568" s="143"/>
      <c r="CD568" s="143"/>
    </row>
    <row r="569" spans="1:82" ht="16.5" customHeight="1" x14ac:dyDescent="0.15">
      <c r="A569" s="35"/>
      <c r="B569" s="35"/>
      <c r="C569" s="35"/>
      <c r="D569" s="35"/>
      <c r="E569" s="35"/>
      <c r="F569" s="35"/>
      <c r="G569" s="35"/>
      <c r="H569" s="34"/>
      <c r="I569" s="36"/>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137"/>
      <c r="BK569" s="143"/>
      <c r="BL569" s="143"/>
      <c r="BM569" s="143"/>
      <c r="BN569" s="143"/>
      <c r="BO569" s="143"/>
      <c r="BP569" s="143"/>
      <c r="BQ569" s="143"/>
      <c r="BR569" s="143"/>
      <c r="BS569" s="143"/>
      <c r="BT569" s="143"/>
      <c r="BU569" s="143"/>
      <c r="BV569" s="143"/>
      <c r="BW569" s="143"/>
      <c r="BX569" s="143"/>
      <c r="BY569" s="143"/>
      <c r="BZ569" s="143"/>
      <c r="CA569" s="143"/>
      <c r="CB569" s="143"/>
      <c r="CC569" s="143"/>
      <c r="CD569" s="143"/>
    </row>
    <row r="570" spans="1:82" ht="16.5" customHeight="1" x14ac:dyDescent="0.15">
      <c r="A570" s="35"/>
      <c r="B570" s="35"/>
      <c r="C570" s="35"/>
      <c r="D570" s="35"/>
      <c r="E570" s="35"/>
      <c r="F570" s="35"/>
      <c r="G570" s="35"/>
      <c r="H570" s="34"/>
      <c r="I570" s="36"/>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137"/>
      <c r="BK570" s="143"/>
      <c r="BL570" s="143"/>
      <c r="BM570" s="143"/>
      <c r="BN570" s="143"/>
      <c r="BO570" s="143"/>
      <c r="BP570" s="143"/>
      <c r="BQ570" s="143"/>
      <c r="BR570" s="143"/>
      <c r="BS570" s="143"/>
      <c r="BT570" s="143"/>
      <c r="BU570" s="143"/>
      <c r="BV570" s="143"/>
      <c r="BW570" s="143"/>
      <c r="BX570" s="143"/>
      <c r="BY570" s="143"/>
      <c r="BZ570" s="143"/>
      <c r="CA570" s="143"/>
      <c r="CB570" s="143"/>
      <c r="CC570" s="143"/>
      <c r="CD570" s="143"/>
    </row>
    <row r="571" spans="1:82" ht="16.5" customHeight="1" x14ac:dyDescent="0.15">
      <c r="A571" s="35"/>
      <c r="B571" s="35"/>
      <c r="C571" s="35"/>
      <c r="D571" s="35"/>
      <c r="E571" s="35"/>
      <c r="F571" s="35"/>
      <c r="G571" s="35"/>
      <c r="H571" s="34"/>
      <c r="I571" s="36"/>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137"/>
      <c r="BK571" s="143"/>
      <c r="BL571" s="143"/>
      <c r="BM571" s="143"/>
      <c r="BN571" s="143"/>
      <c r="BO571" s="143"/>
      <c r="BP571" s="143"/>
      <c r="BQ571" s="143"/>
      <c r="BR571" s="143"/>
      <c r="BS571" s="143"/>
      <c r="BT571" s="143"/>
      <c r="BU571" s="143"/>
      <c r="BV571" s="143"/>
      <c r="BW571" s="143"/>
      <c r="BX571" s="143"/>
      <c r="BY571" s="143"/>
      <c r="BZ571" s="143"/>
      <c r="CA571" s="143"/>
      <c r="CB571" s="143"/>
      <c r="CC571" s="143"/>
      <c r="CD571" s="143"/>
    </row>
    <row r="572" spans="1:82" ht="16.5" customHeight="1" x14ac:dyDescent="0.15">
      <c r="A572" s="35"/>
      <c r="B572" s="35"/>
      <c r="C572" s="35"/>
      <c r="D572" s="35"/>
      <c r="E572" s="35"/>
      <c r="F572" s="35"/>
      <c r="G572" s="35"/>
      <c r="H572" s="34"/>
      <c r="I572" s="36"/>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137"/>
      <c r="BK572" s="143"/>
      <c r="BL572" s="143"/>
      <c r="BM572" s="143"/>
      <c r="BN572" s="143"/>
      <c r="BO572" s="143"/>
      <c r="BP572" s="143"/>
      <c r="BQ572" s="143"/>
      <c r="BR572" s="143"/>
      <c r="BS572" s="143"/>
      <c r="BT572" s="143"/>
      <c r="BU572" s="143"/>
      <c r="BV572" s="143"/>
      <c r="BW572" s="143"/>
      <c r="BX572" s="143"/>
      <c r="BY572" s="143"/>
      <c r="BZ572" s="143"/>
      <c r="CA572" s="143"/>
      <c r="CB572" s="143"/>
      <c r="CC572" s="143"/>
      <c r="CD572" s="143"/>
    </row>
    <row r="573" spans="1:82" ht="16.5" customHeight="1" x14ac:dyDescent="0.15">
      <c r="A573" s="35"/>
      <c r="B573" s="35"/>
      <c r="C573" s="35"/>
      <c r="D573" s="35"/>
      <c r="E573" s="35"/>
      <c r="F573" s="35"/>
      <c r="G573" s="35"/>
      <c r="H573" s="34"/>
      <c r="I573" s="36"/>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137"/>
      <c r="BK573" s="143"/>
      <c r="BL573" s="143"/>
      <c r="BM573" s="143"/>
      <c r="BN573" s="143"/>
      <c r="BO573" s="143"/>
      <c r="BP573" s="143"/>
      <c r="BQ573" s="143"/>
      <c r="BR573" s="143"/>
      <c r="BS573" s="143"/>
      <c r="BT573" s="143"/>
      <c r="BU573" s="143"/>
      <c r="BV573" s="143"/>
      <c r="BW573" s="143"/>
      <c r="BX573" s="143"/>
      <c r="BY573" s="143"/>
      <c r="BZ573" s="143"/>
      <c r="CA573" s="143"/>
      <c r="CB573" s="143"/>
      <c r="CC573" s="143"/>
      <c r="CD573" s="143"/>
    </row>
    <row r="574" spans="1:82" ht="16.5" customHeight="1" x14ac:dyDescent="0.15">
      <c r="A574" s="35"/>
      <c r="B574" s="35"/>
      <c r="C574" s="35"/>
      <c r="D574" s="35"/>
      <c r="E574" s="35"/>
      <c r="F574" s="35"/>
      <c r="G574" s="35"/>
      <c r="H574" s="34"/>
      <c r="I574" s="36"/>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137"/>
      <c r="BK574" s="143"/>
      <c r="BL574" s="143"/>
      <c r="BM574" s="143"/>
      <c r="BN574" s="143"/>
      <c r="BO574" s="143"/>
      <c r="BP574" s="143"/>
      <c r="BQ574" s="143"/>
      <c r="BR574" s="143"/>
      <c r="BS574" s="143"/>
      <c r="BT574" s="143"/>
      <c r="BU574" s="143"/>
      <c r="BV574" s="143"/>
      <c r="BW574" s="143"/>
      <c r="BX574" s="143"/>
      <c r="BY574" s="143"/>
      <c r="BZ574" s="143"/>
      <c r="CA574" s="143"/>
      <c r="CB574" s="143"/>
      <c r="CC574" s="143"/>
      <c r="CD574" s="143"/>
    </row>
    <row r="575" spans="1:82" ht="16.5" customHeight="1" x14ac:dyDescent="0.15">
      <c r="A575" s="35"/>
      <c r="B575" s="35"/>
      <c r="C575" s="35"/>
      <c r="D575" s="35"/>
      <c r="E575" s="35"/>
      <c r="F575" s="35"/>
      <c r="G575" s="35"/>
      <c r="H575" s="34"/>
      <c r="I575" s="36"/>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137"/>
      <c r="BK575" s="143"/>
      <c r="BL575" s="143"/>
      <c r="BM575" s="143"/>
      <c r="BN575" s="143"/>
      <c r="BO575" s="143"/>
      <c r="BP575" s="143"/>
      <c r="BQ575" s="143"/>
      <c r="BR575" s="143"/>
      <c r="BS575" s="143"/>
      <c r="BT575" s="143"/>
      <c r="BU575" s="143"/>
      <c r="BV575" s="143"/>
      <c r="BW575" s="143"/>
      <c r="BX575" s="143"/>
      <c r="BY575" s="143"/>
      <c r="BZ575" s="143"/>
      <c r="CA575" s="143"/>
      <c r="CB575" s="143"/>
      <c r="CC575" s="143"/>
      <c r="CD575" s="143"/>
    </row>
    <row r="576" spans="1:82" ht="16.5" customHeight="1" x14ac:dyDescent="0.15">
      <c r="A576" s="35"/>
      <c r="B576" s="35"/>
      <c r="C576" s="35"/>
      <c r="D576" s="35"/>
      <c r="E576" s="35"/>
      <c r="F576" s="35"/>
      <c r="G576" s="35"/>
      <c r="H576" s="34"/>
      <c r="I576" s="36"/>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137"/>
      <c r="BK576" s="143"/>
      <c r="BL576" s="143"/>
      <c r="BM576" s="143"/>
      <c r="BN576" s="143"/>
      <c r="BO576" s="143"/>
      <c r="BP576" s="143"/>
      <c r="BQ576" s="143"/>
      <c r="BR576" s="143"/>
      <c r="BS576" s="143"/>
      <c r="BT576" s="143"/>
      <c r="BU576" s="143"/>
      <c r="BV576" s="143"/>
      <c r="BW576" s="143"/>
      <c r="BX576" s="143"/>
      <c r="BY576" s="143"/>
      <c r="BZ576" s="143"/>
      <c r="CA576" s="143"/>
      <c r="CB576" s="143"/>
      <c r="CC576" s="143"/>
      <c r="CD576" s="143"/>
    </row>
    <row r="577" spans="1:82" ht="16.5" customHeight="1" x14ac:dyDescent="0.15">
      <c r="A577" s="35"/>
      <c r="B577" s="35"/>
      <c r="C577" s="35"/>
      <c r="D577" s="35"/>
      <c r="E577" s="35"/>
      <c r="F577" s="35"/>
      <c r="G577" s="35"/>
      <c r="H577" s="34"/>
      <c r="I577" s="36"/>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137"/>
      <c r="BK577" s="143"/>
      <c r="BL577" s="143"/>
      <c r="BM577" s="143"/>
      <c r="BN577" s="143"/>
      <c r="BO577" s="143"/>
      <c r="BP577" s="143"/>
      <c r="BQ577" s="143"/>
      <c r="BR577" s="143"/>
      <c r="BS577" s="143"/>
      <c r="BT577" s="143"/>
      <c r="BU577" s="143"/>
      <c r="BV577" s="143"/>
      <c r="BW577" s="143"/>
      <c r="BX577" s="143"/>
      <c r="BY577" s="143"/>
      <c r="BZ577" s="143"/>
      <c r="CA577" s="143"/>
      <c r="CB577" s="143"/>
      <c r="CC577" s="143"/>
      <c r="CD577" s="143"/>
    </row>
    <row r="578" spans="1:82" ht="16.5" customHeight="1" x14ac:dyDescent="0.15">
      <c r="A578" s="35"/>
      <c r="B578" s="35"/>
      <c r="C578" s="35"/>
      <c r="D578" s="35"/>
      <c r="E578" s="35"/>
      <c r="F578" s="35"/>
      <c r="G578" s="35"/>
      <c r="H578" s="34"/>
      <c r="I578" s="36"/>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137"/>
      <c r="BK578" s="143"/>
      <c r="BL578" s="143"/>
      <c r="BM578" s="143"/>
      <c r="BN578" s="143"/>
      <c r="BO578" s="143"/>
      <c r="BP578" s="143"/>
      <c r="BQ578" s="143"/>
      <c r="BR578" s="143"/>
      <c r="BS578" s="143"/>
      <c r="BT578" s="143"/>
      <c r="BU578" s="143"/>
      <c r="BV578" s="143"/>
      <c r="BW578" s="143"/>
      <c r="BX578" s="143"/>
      <c r="BY578" s="143"/>
      <c r="BZ578" s="143"/>
      <c r="CA578" s="143"/>
      <c r="CB578" s="143"/>
      <c r="CC578" s="143"/>
      <c r="CD578" s="143"/>
    </row>
    <row r="579" spans="1:82" ht="16.5" customHeight="1" x14ac:dyDescent="0.15">
      <c r="A579" s="35"/>
      <c r="B579" s="35"/>
      <c r="C579" s="35"/>
      <c r="D579" s="35"/>
      <c r="E579" s="35"/>
      <c r="F579" s="35"/>
      <c r="G579" s="35"/>
      <c r="H579" s="34"/>
      <c r="I579" s="36"/>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137"/>
      <c r="BK579" s="143"/>
      <c r="BL579" s="143"/>
      <c r="BM579" s="143"/>
      <c r="BN579" s="143"/>
      <c r="BO579" s="143"/>
      <c r="BP579" s="143"/>
      <c r="BQ579" s="143"/>
      <c r="BR579" s="143"/>
      <c r="BS579" s="143"/>
      <c r="BT579" s="143"/>
      <c r="BU579" s="143"/>
      <c r="BV579" s="143"/>
      <c r="BW579" s="143"/>
      <c r="BX579" s="143"/>
      <c r="BY579" s="143"/>
      <c r="BZ579" s="143"/>
      <c r="CA579" s="143"/>
      <c r="CB579" s="143"/>
      <c r="CC579" s="143"/>
      <c r="CD579" s="143"/>
    </row>
    <row r="580" spans="1:82" ht="16.5" customHeight="1" x14ac:dyDescent="0.15">
      <c r="A580" s="35"/>
      <c r="B580" s="35"/>
      <c r="C580" s="35"/>
      <c r="D580" s="35"/>
      <c r="E580" s="35"/>
      <c r="F580" s="35"/>
      <c r="G580" s="35"/>
      <c r="H580" s="34"/>
      <c r="I580" s="36"/>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137"/>
      <c r="BK580" s="143"/>
      <c r="BL580" s="143"/>
      <c r="BM580" s="143"/>
      <c r="BN580" s="143"/>
      <c r="BO580" s="143"/>
      <c r="BP580" s="143"/>
      <c r="BQ580" s="143"/>
      <c r="BR580" s="143"/>
      <c r="BS580" s="143"/>
      <c r="BT580" s="143"/>
      <c r="BU580" s="143"/>
      <c r="BV580" s="143"/>
      <c r="BW580" s="143"/>
      <c r="BX580" s="143"/>
      <c r="BY580" s="143"/>
      <c r="BZ580" s="143"/>
      <c r="CA580" s="143"/>
      <c r="CB580" s="143"/>
      <c r="CC580" s="143"/>
      <c r="CD580" s="143"/>
    </row>
    <row r="581" spans="1:82" ht="16.5" customHeight="1" x14ac:dyDescent="0.15">
      <c r="A581" s="35"/>
      <c r="B581" s="35"/>
      <c r="C581" s="35"/>
      <c r="D581" s="35"/>
      <c r="E581" s="35"/>
      <c r="F581" s="35"/>
      <c r="G581" s="35"/>
      <c r="H581" s="34"/>
      <c r="I581" s="36"/>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137"/>
      <c r="BK581" s="143"/>
      <c r="BL581" s="143"/>
      <c r="BM581" s="143"/>
      <c r="BN581" s="143"/>
      <c r="BO581" s="143"/>
      <c r="BP581" s="143"/>
      <c r="BQ581" s="143"/>
      <c r="BR581" s="143"/>
      <c r="BS581" s="143"/>
      <c r="BT581" s="143"/>
      <c r="BU581" s="143"/>
      <c r="BV581" s="143"/>
      <c r="BW581" s="143"/>
      <c r="BX581" s="143"/>
      <c r="BY581" s="143"/>
      <c r="BZ581" s="143"/>
      <c r="CA581" s="143"/>
      <c r="CB581" s="143"/>
      <c r="CC581" s="143"/>
      <c r="CD581" s="143"/>
    </row>
    <row r="582" spans="1:82" ht="16.5" customHeight="1" x14ac:dyDescent="0.15">
      <c r="A582" s="35"/>
      <c r="B582" s="35"/>
      <c r="C582" s="35"/>
      <c r="D582" s="35"/>
      <c r="E582" s="35"/>
      <c r="F582" s="35"/>
      <c r="G582" s="35"/>
      <c r="H582" s="34"/>
      <c r="I582" s="36"/>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137"/>
      <c r="BK582" s="143"/>
      <c r="BL582" s="143"/>
      <c r="BM582" s="143"/>
      <c r="BN582" s="143"/>
      <c r="BO582" s="143"/>
      <c r="BP582" s="143"/>
      <c r="BQ582" s="143"/>
      <c r="BR582" s="143"/>
      <c r="BS582" s="143"/>
      <c r="BT582" s="143"/>
      <c r="BU582" s="143"/>
      <c r="BV582" s="143"/>
      <c r="BW582" s="143"/>
      <c r="BX582" s="143"/>
      <c r="BY582" s="143"/>
      <c r="BZ582" s="143"/>
      <c r="CA582" s="143"/>
      <c r="CB582" s="143"/>
      <c r="CC582" s="143"/>
      <c r="CD582" s="143"/>
    </row>
    <row r="583" spans="1:82" ht="16.5" customHeight="1" x14ac:dyDescent="0.15">
      <c r="A583" s="35"/>
      <c r="B583" s="35"/>
      <c r="C583" s="35"/>
      <c r="D583" s="35"/>
      <c r="E583" s="35"/>
      <c r="F583" s="35"/>
      <c r="G583" s="35"/>
      <c r="H583" s="34"/>
      <c r="I583" s="36"/>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137"/>
      <c r="BK583" s="143"/>
      <c r="BL583" s="143"/>
      <c r="BM583" s="143"/>
      <c r="BN583" s="143"/>
      <c r="BO583" s="143"/>
      <c r="BP583" s="143"/>
      <c r="BQ583" s="143"/>
      <c r="BR583" s="143"/>
      <c r="BS583" s="143"/>
      <c r="BT583" s="143"/>
      <c r="BU583" s="143"/>
      <c r="BV583" s="143"/>
      <c r="BW583" s="143"/>
      <c r="BX583" s="143"/>
      <c r="BY583" s="143"/>
      <c r="BZ583" s="143"/>
      <c r="CA583" s="143"/>
      <c r="CB583" s="143"/>
      <c r="CC583" s="143"/>
      <c r="CD583" s="143"/>
    </row>
    <row r="584" spans="1:82" ht="16.5" customHeight="1" x14ac:dyDescent="0.15">
      <c r="A584" s="35"/>
      <c r="B584" s="35"/>
      <c r="C584" s="35"/>
      <c r="D584" s="35"/>
      <c r="E584" s="35"/>
      <c r="F584" s="35"/>
      <c r="G584" s="35"/>
      <c r="H584" s="34"/>
      <c r="I584" s="36"/>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137"/>
      <c r="BK584" s="143"/>
      <c r="BL584" s="143"/>
      <c r="BM584" s="143"/>
      <c r="BN584" s="143"/>
      <c r="BO584" s="143"/>
      <c r="BP584" s="143"/>
      <c r="BQ584" s="143"/>
      <c r="BR584" s="143"/>
      <c r="BS584" s="143"/>
      <c r="BT584" s="143"/>
      <c r="BU584" s="143"/>
      <c r="BV584" s="143"/>
      <c r="BW584" s="143"/>
      <c r="BX584" s="143"/>
      <c r="BY584" s="143"/>
      <c r="BZ584" s="143"/>
      <c r="CA584" s="143"/>
      <c r="CB584" s="143"/>
      <c r="CC584" s="143"/>
      <c r="CD584" s="143"/>
    </row>
    <row r="585" spans="1:82" ht="16.5" customHeight="1" x14ac:dyDescent="0.15">
      <c r="A585" s="35"/>
      <c r="B585" s="35"/>
      <c r="C585" s="35"/>
      <c r="D585" s="35"/>
      <c r="E585" s="35"/>
      <c r="F585" s="35"/>
      <c r="G585" s="35"/>
      <c r="H585" s="34"/>
      <c r="I585" s="36"/>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137"/>
      <c r="BK585" s="143"/>
      <c r="BL585" s="143"/>
      <c r="BM585" s="143"/>
      <c r="BN585" s="143"/>
      <c r="BO585" s="143"/>
      <c r="BP585" s="143"/>
      <c r="BQ585" s="143"/>
      <c r="BR585" s="143"/>
      <c r="BS585" s="143"/>
      <c r="BT585" s="143"/>
      <c r="BU585" s="143"/>
      <c r="BV585" s="143"/>
      <c r="BW585" s="143"/>
      <c r="BX585" s="143"/>
      <c r="BY585" s="143"/>
      <c r="BZ585" s="143"/>
      <c r="CA585" s="143"/>
      <c r="CB585" s="143"/>
      <c r="CC585" s="143"/>
      <c r="CD585" s="143"/>
    </row>
    <row r="586" spans="1:82" ht="16.5" customHeight="1" x14ac:dyDescent="0.15">
      <c r="A586" s="35"/>
      <c r="B586" s="35"/>
      <c r="C586" s="35"/>
      <c r="D586" s="35"/>
      <c r="E586" s="35"/>
      <c r="F586" s="35"/>
      <c r="G586" s="35"/>
      <c r="H586" s="34"/>
      <c r="I586" s="36"/>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137"/>
      <c r="BK586" s="143"/>
      <c r="BL586" s="143"/>
      <c r="BM586" s="143"/>
      <c r="BN586" s="143"/>
      <c r="BO586" s="143"/>
      <c r="BP586" s="143"/>
      <c r="BQ586" s="143"/>
      <c r="BR586" s="143"/>
      <c r="BS586" s="143"/>
      <c r="BT586" s="143"/>
      <c r="BU586" s="143"/>
      <c r="BV586" s="143"/>
      <c r="BW586" s="143"/>
      <c r="BX586" s="143"/>
      <c r="BY586" s="143"/>
      <c r="BZ586" s="143"/>
      <c r="CA586" s="143"/>
      <c r="CB586" s="143"/>
      <c r="CC586" s="143"/>
      <c r="CD586" s="143"/>
    </row>
    <row r="587" spans="1:82" ht="16.5" customHeight="1" x14ac:dyDescent="0.15">
      <c r="A587" s="35"/>
      <c r="B587" s="35"/>
      <c r="C587" s="35"/>
      <c r="D587" s="35"/>
      <c r="E587" s="35"/>
      <c r="F587" s="35"/>
      <c r="G587" s="35"/>
      <c r="H587" s="34"/>
      <c r="I587" s="36"/>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137"/>
      <c r="BK587" s="143"/>
      <c r="BL587" s="143"/>
      <c r="BM587" s="143"/>
      <c r="BN587" s="143"/>
      <c r="BO587" s="143"/>
      <c r="BP587" s="143"/>
      <c r="BQ587" s="143"/>
      <c r="BR587" s="143"/>
      <c r="BS587" s="143"/>
      <c r="BT587" s="143"/>
      <c r="BU587" s="143"/>
      <c r="BV587" s="143"/>
      <c r="BW587" s="143"/>
      <c r="BX587" s="143"/>
      <c r="BY587" s="143"/>
      <c r="BZ587" s="143"/>
      <c r="CA587" s="143"/>
      <c r="CB587" s="143"/>
      <c r="CC587" s="143"/>
      <c r="CD587" s="143"/>
    </row>
    <row r="588" spans="1:82" ht="16.5" customHeight="1" x14ac:dyDescent="0.15">
      <c r="A588" s="35"/>
      <c r="B588" s="35"/>
      <c r="C588" s="35"/>
      <c r="D588" s="35"/>
      <c r="E588" s="35"/>
      <c r="F588" s="35"/>
      <c r="G588" s="35"/>
      <c r="H588" s="34"/>
      <c r="I588" s="36"/>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137"/>
      <c r="BK588" s="143"/>
      <c r="BL588" s="143"/>
      <c r="BM588" s="143"/>
      <c r="BN588" s="143"/>
      <c r="BO588" s="143"/>
      <c r="BP588" s="143"/>
      <c r="BQ588" s="143"/>
      <c r="BR588" s="143"/>
      <c r="BS588" s="143"/>
      <c r="BT588" s="143"/>
      <c r="BU588" s="143"/>
      <c r="BV588" s="143"/>
      <c r="BW588" s="143"/>
      <c r="BX588" s="143"/>
      <c r="BY588" s="143"/>
      <c r="BZ588" s="143"/>
      <c r="CA588" s="143"/>
      <c r="CB588" s="143"/>
      <c r="CC588" s="143"/>
      <c r="CD588" s="143"/>
    </row>
    <row r="589" spans="1:82" ht="16.5" customHeight="1" x14ac:dyDescent="0.15">
      <c r="A589" s="35"/>
      <c r="B589" s="35"/>
      <c r="C589" s="35"/>
      <c r="D589" s="35"/>
      <c r="E589" s="35"/>
      <c r="F589" s="35"/>
      <c r="G589" s="35"/>
      <c r="H589" s="34"/>
      <c r="I589" s="36"/>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137"/>
      <c r="BK589" s="143"/>
      <c r="BL589" s="143"/>
      <c r="BM589" s="143"/>
      <c r="BN589" s="143"/>
      <c r="BO589" s="143"/>
      <c r="BP589" s="143"/>
      <c r="BQ589" s="143"/>
      <c r="BR589" s="143"/>
      <c r="BS589" s="143"/>
      <c r="BT589" s="143"/>
      <c r="BU589" s="143"/>
      <c r="BV589" s="143"/>
      <c r="BW589" s="143"/>
      <c r="BX589" s="143"/>
      <c r="BY589" s="143"/>
      <c r="BZ589" s="143"/>
      <c r="CA589" s="143"/>
      <c r="CB589" s="143"/>
      <c r="CC589" s="143"/>
      <c r="CD589" s="143"/>
    </row>
    <row r="590" spans="1:82" ht="16.5" customHeight="1" x14ac:dyDescent="0.15">
      <c r="A590" s="35"/>
      <c r="B590" s="35"/>
      <c r="C590" s="35"/>
      <c r="D590" s="35"/>
      <c r="E590" s="35"/>
      <c r="F590" s="35"/>
      <c r="G590" s="35"/>
      <c r="H590" s="34"/>
      <c r="I590" s="36"/>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137"/>
      <c r="BK590" s="143"/>
      <c r="BL590" s="143"/>
      <c r="BM590" s="143"/>
      <c r="BN590" s="143"/>
      <c r="BO590" s="143"/>
      <c r="BP590" s="143"/>
      <c r="BQ590" s="143"/>
      <c r="BR590" s="143"/>
      <c r="BS590" s="143"/>
      <c r="BT590" s="143"/>
      <c r="BU590" s="143"/>
      <c r="BV590" s="143"/>
      <c r="BW590" s="143"/>
      <c r="BX590" s="143"/>
      <c r="BY590" s="143"/>
      <c r="BZ590" s="143"/>
      <c r="CA590" s="143"/>
      <c r="CB590" s="143"/>
      <c r="CC590" s="143"/>
      <c r="CD590" s="143"/>
    </row>
    <row r="591" spans="1:82" ht="16.5" customHeight="1" x14ac:dyDescent="0.15">
      <c r="A591" s="35"/>
      <c r="B591" s="35"/>
      <c r="C591" s="35"/>
      <c r="D591" s="35"/>
      <c r="E591" s="35"/>
      <c r="F591" s="35"/>
      <c r="G591" s="35"/>
      <c r="H591" s="34"/>
      <c r="I591" s="36"/>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137"/>
      <c r="BK591" s="143"/>
      <c r="BL591" s="143"/>
      <c r="BM591" s="143"/>
      <c r="BN591" s="143"/>
      <c r="BO591" s="143"/>
      <c r="BP591" s="143"/>
      <c r="BQ591" s="143"/>
      <c r="BR591" s="143"/>
      <c r="BS591" s="143"/>
      <c r="BT591" s="143"/>
      <c r="BU591" s="143"/>
      <c r="BV591" s="143"/>
      <c r="BW591" s="143"/>
      <c r="BX591" s="143"/>
      <c r="BY591" s="143"/>
      <c r="BZ591" s="143"/>
      <c r="CA591" s="143"/>
      <c r="CB591" s="143"/>
      <c r="CC591" s="143"/>
      <c r="CD591" s="143"/>
    </row>
    <row r="592" spans="1:82" ht="16.5" customHeight="1" x14ac:dyDescent="0.15">
      <c r="A592" s="35"/>
      <c r="B592" s="35"/>
      <c r="C592" s="35"/>
      <c r="D592" s="35"/>
      <c r="E592" s="35"/>
      <c r="F592" s="35"/>
      <c r="G592" s="35"/>
      <c r="H592" s="34"/>
      <c r="I592" s="36"/>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137"/>
      <c r="BK592" s="143"/>
      <c r="BL592" s="143"/>
      <c r="BM592" s="143"/>
      <c r="BN592" s="143"/>
      <c r="BO592" s="143"/>
      <c r="BP592" s="143"/>
      <c r="BQ592" s="143"/>
      <c r="BR592" s="143"/>
      <c r="BS592" s="143"/>
      <c r="BT592" s="143"/>
      <c r="BU592" s="143"/>
      <c r="BV592" s="143"/>
      <c r="BW592" s="143"/>
      <c r="BX592" s="143"/>
      <c r="BY592" s="143"/>
      <c r="BZ592" s="143"/>
      <c r="CA592" s="143"/>
      <c r="CB592" s="143"/>
      <c r="CC592" s="143"/>
      <c r="CD592" s="143"/>
    </row>
    <row r="593" spans="1:82" ht="16.5" customHeight="1" x14ac:dyDescent="0.15">
      <c r="A593" s="35"/>
      <c r="B593" s="35"/>
      <c r="C593" s="35"/>
      <c r="D593" s="35"/>
      <c r="E593" s="35"/>
      <c r="F593" s="35"/>
      <c r="G593" s="35"/>
      <c r="H593" s="34"/>
      <c r="I593" s="36"/>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137"/>
      <c r="BK593" s="143"/>
      <c r="BL593" s="143"/>
      <c r="BM593" s="143"/>
      <c r="BN593" s="143"/>
      <c r="BO593" s="143"/>
      <c r="BP593" s="143"/>
      <c r="BQ593" s="143"/>
      <c r="BR593" s="143"/>
      <c r="BS593" s="143"/>
      <c r="BT593" s="143"/>
      <c r="BU593" s="143"/>
      <c r="BV593" s="143"/>
      <c r="BW593" s="143"/>
      <c r="BX593" s="143"/>
      <c r="BY593" s="143"/>
      <c r="BZ593" s="143"/>
      <c r="CA593" s="143"/>
      <c r="CB593" s="143"/>
      <c r="CC593" s="143"/>
      <c r="CD593" s="143"/>
    </row>
    <row r="594" spans="1:82" ht="16.5" customHeight="1" x14ac:dyDescent="0.15">
      <c r="A594" s="35"/>
      <c r="B594" s="35"/>
      <c r="C594" s="35"/>
      <c r="D594" s="35"/>
      <c r="E594" s="35"/>
      <c r="F594" s="35"/>
      <c r="G594" s="35"/>
      <c r="H594" s="34"/>
      <c r="I594" s="36"/>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137"/>
      <c r="BK594" s="143"/>
      <c r="BL594" s="143"/>
      <c r="BM594" s="143"/>
      <c r="BN594" s="143"/>
      <c r="BO594" s="143"/>
      <c r="BP594" s="143"/>
      <c r="BQ594" s="143"/>
      <c r="BR594" s="143"/>
      <c r="BS594" s="143"/>
      <c r="BT594" s="143"/>
      <c r="BU594" s="143"/>
      <c r="BV594" s="143"/>
      <c r="BW594" s="143"/>
      <c r="BX594" s="143"/>
      <c r="BY594" s="143"/>
      <c r="BZ594" s="143"/>
      <c r="CA594" s="143"/>
      <c r="CB594" s="143"/>
      <c r="CC594" s="143"/>
      <c r="CD594" s="143"/>
    </row>
    <row r="595" spans="1:82" ht="16.5" customHeight="1" x14ac:dyDescent="0.15">
      <c r="A595" s="35"/>
      <c r="B595" s="35"/>
      <c r="C595" s="35"/>
      <c r="D595" s="35"/>
      <c r="E595" s="35"/>
      <c r="F595" s="35"/>
      <c r="G595" s="35"/>
      <c r="H595" s="34"/>
      <c r="I595" s="36"/>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137"/>
      <c r="BK595" s="143"/>
      <c r="BL595" s="143"/>
      <c r="BM595" s="143"/>
      <c r="BN595" s="143"/>
      <c r="BO595" s="143"/>
      <c r="BP595" s="143"/>
      <c r="BQ595" s="143"/>
      <c r="BR595" s="143"/>
      <c r="BS595" s="143"/>
      <c r="BT595" s="143"/>
      <c r="BU595" s="143"/>
      <c r="BV595" s="143"/>
      <c r="BW595" s="143"/>
      <c r="BX595" s="143"/>
      <c r="BY595" s="143"/>
      <c r="BZ595" s="143"/>
      <c r="CA595" s="143"/>
      <c r="CB595" s="143"/>
      <c r="CC595" s="143"/>
      <c r="CD595" s="143"/>
    </row>
    <row r="596" spans="1:82" ht="16.5" customHeight="1" x14ac:dyDescent="0.15">
      <c r="A596" s="35"/>
      <c r="B596" s="35"/>
      <c r="C596" s="35"/>
      <c r="D596" s="35"/>
      <c r="E596" s="35"/>
      <c r="F596" s="35"/>
      <c r="G596" s="35"/>
      <c r="H596" s="34"/>
      <c r="I596" s="36"/>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137"/>
      <c r="BK596" s="143"/>
      <c r="BL596" s="143"/>
      <c r="BM596" s="143"/>
      <c r="BN596" s="143"/>
      <c r="BO596" s="143"/>
      <c r="BP596" s="143"/>
      <c r="BQ596" s="143"/>
      <c r="BR596" s="143"/>
      <c r="BS596" s="143"/>
      <c r="BT596" s="143"/>
      <c r="BU596" s="143"/>
      <c r="BV596" s="143"/>
      <c r="BW596" s="143"/>
      <c r="BX596" s="143"/>
      <c r="BY596" s="143"/>
      <c r="BZ596" s="143"/>
      <c r="CA596" s="143"/>
      <c r="CB596" s="143"/>
      <c r="CC596" s="143"/>
      <c r="CD596" s="143"/>
    </row>
    <row r="597" spans="1:82" ht="16.5" customHeight="1" x14ac:dyDescent="0.15">
      <c r="A597" s="35"/>
      <c r="B597" s="35"/>
      <c r="C597" s="35"/>
      <c r="D597" s="35"/>
      <c r="E597" s="35"/>
      <c r="F597" s="35"/>
      <c r="G597" s="35"/>
      <c r="H597" s="34"/>
      <c r="I597" s="36"/>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137"/>
      <c r="BK597" s="143"/>
      <c r="BL597" s="143"/>
      <c r="BM597" s="143"/>
      <c r="BN597" s="143"/>
      <c r="BO597" s="143"/>
      <c r="BP597" s="143"/>
      <c r="BQ597" s="143"/>
      <c r="BR597" s="143"/>
      <c r="BS597" s="143"/>
      <c r="BT597" s="143"/>
      <c r="BU597" s="143"/>
      <c r="BV597" s="143"/>
      <c r="BW597" s="143"/>
      <c r="BX597" s="143"/>
      <c r="BY597" s="143"/>
      <c r="BZ597" s="143"/>
      <c r="CA597" s="143"/>
      <c r="CB597" s="143"/>
      <c r="CC597" s="143"/>
      <c r="CD597" s="143"/>
    </row>
    <row r="598" spans="1:82" ht="16.5" customHeight="1" x14ac:dyDescent="0.15">
      <c r="A598" s="35"/>
      <c r="B598" s="35"/>
      <c r="C598" s="35"/>
      <c r="D598" s="35"/>
      <c r="E598" s="35"/>
      <c r="F598" s="35"/>
      <c r="G598" s="35"/>
      <c r="H598" s="34"/>
      <c r="I598" s="36"/>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137"/>
      <c r="BK598" s="143"/>
      <c r="BL598" s="143"/>
      <c r="BM598" s="143"/>
      <c r="BN598" s="143"/>
      <c r="BO598" s="143"/>
      <c r="BP598" s="143"/>
      <c r="BQ598" s="143"/>
      <c r="BR598" s="143"/>
      <c r="BS598" s="143"/>
      <c r="BT598" s="143"/>
      <c r="BU598" s="143"/>
      <c r="BV598" s="143"/>
      <c r="BW598" s="143"/>
      <c r="BX598" s="143"/>
      <c r="BY598" s="143"/>
      <c r="BZ598" s="143"/>
      <c r="CA598" s="143"/>
      <c r="CB598" s="143"/>
      <c r="CC598" s="143"/>
      <c r="CD598" s="143"/>
    </row>
    <row r="599" spans="1:82" ht="16.5" customHeight="1" x14ac:dyDescent="0.15">
      <c r="A599" s="35"/>
      <c r="B599" s="35"/>
      <c r="C599" s="35"/>
      <c r="D599" s="35"/>
      <c r="E599" s="35"/>
      <c r="F599" s="35"/>
      <c r="G599" s="35"/>
      <c r="H599" s="34"/>
      <c r="I599" s="36"/>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137"/>
      <c r="BK599" s="143"/>
      <c r="BL599" s="143"/>
      <c r="BM599" s="143"/>
      <c r="BN599" s="143"/>
      <c r="BO599" s="143"/>
      <c r="BP599" s="143"/>
      <c r="BQ599" s="143"/>
      <c r="BR599" s="143"/>
      <c r="BS599" s="143"/>
      <c r="BT599" s="143"/>
      <c r="BU599" s="143"/>
      <c r="BV599" s="143"/>
      <c r="BW599" s="143"/>
      <c r="BX599" s="143"/>
      <c r="BY599" s="143"/>
      <c r="BZ599" s="143"/>
      <c r="CA599" s="143"/>
      <c r="CB599" s="143"/>
      <c r="CC599" s="143"/>
      <c r="CD599" s="143"/>
    </row>
    <row r="600" spans="1:82" ht="16.5" customHeight="1" x14ac:dyDescent="0.15">
      <c r="A600" s="35"/>
      <c r="B600" s="35"/>
      <c r="C600" s="35"/>
      <c r="D600" s="35"/>
      <c r="E600" s="35"/>
      <c r="F600" s="35"/>
      <c r="G600" s="35"/>
      <c r="H600" s="34"/>
      <c r="I600" s="36"/>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137"/>
      <c r="BK600" s="143"/>
      <c r="BL600" s="143"/>
      <c r="BM600" s="143"/>
      <c r="BN600" s="143"/>
      <c r="BO600" s="143"/>
      <c r="BP600" s="143"/>
      <c r="BQ600" s="143"/>
      <c r="BR600" s="143"/>
      <c r="BS600" s="143"/>
      <c r="BT600" s="143"/>
      <c r="BU600" s="143"/>
      <c r="BV600" s="143"/>
      <c r="BW600" s="143"/>
      <c r="BX600" s="143"/>
      <c r="BY600" s="143"/>
      <c r="BZ600" s="143"/>
      <c r="CA600" s="143"/>
      <c r="CB600" s="143"/>
      <c r="CC600" s="143"/>
      <c r="CD600" s="143"/>
    </row>
    <row r="601" spans="1:82" ht="16.5" customHeight="1" x14ac:dyDescent="0.15">
      <c r="A601" s="35"/>
      <c r="B601" s="35"/>
      <c r="C601" s="35"/>
      <c r="D601" s="35"/>
      <c r="E601" s="35"/>
      <c r="F601" s="35"/>
      <c r="G601" s="35"/>
      <c r="H601" s="34"/>
      <c r="I601" s="36"/>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137"/>
      <c r="BK601" s="143"/>
      <c r="BL601" s="143"/>
      <c r="BM601" s="143"/>
      <c r="BN601" s="143"/>
      <c r="BO601" s="143"/>
      <c r="BP601" s="143"/>
      <c r="BQ601" s="143"/>
      <c r="BR601" s="143"/>
      <c r="BS601" s="143"/>
      <c r="BT601" s="143"/>
      <c r="BU601" s="143"/>
      <c r="BV601" s="143"/>
      <c r="BW601" s="143"/>
      <c r="BX601" s="143"/>
      <c r="BY601" s="143"/>
      <c r="BZ601" s="143"/>
      <c r="CA601" s="143"/>
      <c r="CB601" s="143"/>
      <c r="CC601" s="143"/>
      <c r="CD601" s="143"/>
    </row>
    <row r="602" spans="1:82" ht="16.5" customHeight="1" x14ac:dyDescent="0.15">
      <c r="A602" s="35"/>
      <c r="B602" s="35"/>
      <c r="C602" s="35"/>
      <c r="D602" s="35"/>
      <c r="E602" s="35"/>
      <c r="F602" s="35"/>
      <c r="G602" s="35"/>
      <c r="H602" s="34"/>
      <c r="I602" s="36"/>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137"/>
      <c r="BK602" s="143"/>
      <c r="BL602" s="143"/>
      <c r="BM602" s="143"/>
      <c r="BN602" s="143"/>
      <c r="BO602" s="143"/>
      <c r="BP602" s="143"/>
      <c r="BQ602" s="143"/>
      <c r="BR602" s="143"/>
      <c r="BS602" s="143"/>
      <c r="BT602" s="143"/>
      <c r="BU602" s="143"/>
      <c r="BV602" s="143"/>
      <c r="BW602" s="143"/>
      <c r="BX602" s="143"/>
      <c r="BY602" s="143"/>
      <c r="BZ602" s="143"/>
      <c r="CA602" s="143"/>
      <c r="CB602" s="143"/>
      <c r="CC602" s="143"/>
      <c r="CD602" s="143"/>
    </row>
    <row r="603" spans="1:82" ht="16.5" customHeight="1" x14ac:dyDescent="0.15">
      <c r="A603" s="35"/>
      <c r="B603" s="35"/>
      <c r="C603" s="35"/>
      <c r="D603" s="35"/>
      <c r="E603" s="35"/>
      <c r="F603" s="35"/>
      <c r="G603" s="35"/>
      <c r="H603" s="34"/>
      <c r="I603" s="36"/>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137"/>
      <c r="BK603" s="143"/>
      <c r="BL603" s="143"/>
      <c r="BM603" s="143"/>
      <c r="BN603" s="143"/>
      <c r="BO603" s="143"/>
      <c r="BP603" s="143"/>
      <c r="BQ603" s="143"/>
      <c r="BR603" s="143"/>
      <c r="BS603" s="143"/>
      <c r="BT603" s="143"/>
      <c r="BU603" s="143"/>
      <c r="BV603" s="143"/>
      <c r="BW603" s="143"/>
      <c r="BX603" s="143"/>
      <c r="BY603" s="143"/>
      <c r="BZ603" s="143"/>
      <c r="CA603" s="143"/>
      <c r="CB603" s="143"/>
      <c r="CC603" s="143"/>
      <c r="CD603" s="143"/>
    </row>
    <row r="604" spans="1:82" ht="16.5" customHeight="1" x14ac:dyDescent="0.15">
      <c r="A604" s="35"/>
      <c r="B604" s="35"/>
      <c r="C604" s="35"/>
      <c r="D604" s="35"/>
      <c r="E604" s="35"/>
      <c r="F604" s="35"/>
      <c r="G604" s="35"/>
      <c r="H604" s="34"/>
      <c r="I604" s="36"/>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137"/>
      <c r="BK604" s="143"/>
      <c r="BL604" s="143"/>
      <c r="BM604" s="143"/>
      <c r="BN604" s="143"/>
      <c r="BO604" s="143"/>
      <c r="BP604" s="143"/>
      <c r="BQ604" s="143"/>
      <c r="BR604" s="143"/>
      <c r="BS604" s="143"/>
      <c r="BT604" s="143"/>
      <c r="BU604" s="143"/>
      <c r="BV604" s="143"/>
      <c r="BW604" s="143"/>
      <c r="BX604" s="143"/>
      <c r="BY604" s="143"/>
      <c r="BZ604" s="143"/>
      <c r="CA604" s="143"/>
      <c r="CB604" s="143"/>
      <c r="CC604" s="143"/>
      <c r="CD604" s="143"/>
    </row>
    <row r="605" spans="1:82" ht="16.5" customHeight="1" x14ac:dyDescent="0.15">
      <c r="A605" s="35"/>
      <c r="B605" s="35"/>
      <c r="C605" s="35"/>
      <c r="D605" s="35"/>
      <c r="E605" s="35"/>
      <c r="F605" s="35"/>
      <c r="G605" s="35"/>
      <c r="H605" s="34"/>
      <c r="I605" s="36"/>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137"/>
      <c r="BK605" s="143"/>
      <c r="BL605" s="143"/>
      <c r="BM605" s="143"/>
      <c r="BN605" s="143"/>
      <c r="BO605" s="143"/>
      <c r="BP605" s="143"/>
      <c r="BQ605" s="143"/>
      <c r="BR605" s="143"/>
      <c r="BS605" s="143"/>
      <c r="BT605" s="143"/>
      <c r="BU605" s="143"/>
      <c r="BV605" s="143"/>
      <c r="BW605" s="143"/>
      <c r="BX605" s="143"/>
      <c r="BY605" s="143"/>
      <c r="BZ605" s="143"/>
      <c r="CA605" s="143"/>
      <c r="CB605" s="143"/>
      <c r="CC605" s="143"/>
      <c r="CD605" s="143"/>
    </row>
    <row r="606" spans="1:82" ht="16.5" customHeight="1" x14ac:dyDescent="0.15">
      <c r="A606" s="35"/>
      <c r="B606" s="35"/>
      <c r="C606" s="35"/>
      <c r="D606" s="35"/>
      <c r="E606" s="35"/>
      <c r="F606" s="35"/>
      <c r="G606" s="35"/>
      <c r="H606" s="34"/>
      <c r="I606" s="36"/>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137"/>
      <c r="BK606" s="143"/>
      <c r="BL606" s="143"/>
      <c r="BM606" s="143"/>
      <c r="BN606" s="143"/>
      <c r="BO606" s="143"/>
      <c r="BP606" s="143"/>
      <c r="BQ606" s="143"/>
      <c r="BR606" s="143"/>
      <c r="BS606" s="143"/>
      <c r="BT606" s="143"/>
      <c r="BU606" s="143"/>
      <c r="BV606" s="143"/>
      <c r="BW606" s="143"/>
      <c r="BX606" s="143"/>
      <c r="BY606" s="143"/>
      <c r="BZ606" s="143"/>
      <c r="CA606" s="143"/>
      <c r="CB606" s="143"/>
      <c r="CC606" s="143"/>
      <c r="CD606" s="143"/>
    </row>
    <row r="607" spans="1:82" ht="16.5" customHeight="1" x14ac:dyDescent="0.15">
      <c r="A607" s="35"/>
      <c r="B607" s="35"/>
      <c r="C607" s="35"/>
      <c r="D607" s="35"/>
      <c r="E607" s="35"/>
      <c r="F607" s="35"/>
      <c r="G607" s="35"/>
      <c r="H607" s="34"/>
      <c r="I607" s="36"/>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137"/>
      <c r="BK607" s="143"/>
      <c r="BL607" s="143"/>
      <c r="BM607" s="143"/>
      <c r="BN607" s="143"/>
      <c r="BO607" s="143"/>
      <c r="BP607" s="143"/>
      <c r="BQ607" s="143"/>
      <c r="BR607" s="143"/>
      <c r="BS607" s="143"/>
      <c r="BT607" s="143"/>
      <c r="BU607" s="143"/>
      <c r="BV607" s="143"/>
      <c r="BW607" s="143"/>
      <c r="BX607" s="143"/>
      <c r="BY607" s="143"/>
      <c r="BZ607" s="143"/>
      <c r="CA607" s="143"/>
      <c r="CB607" s="143"/>
      <c r="CC607" s="143"/>
      <c r="CD607" s="143"/>
    </row>
    <row r="608" spans="1:82" ht="16.5" customHeight="1" x14ac:dyDescent="0.15">
      <c r="A608" s="35"/>
      <c r="B608" s="35"/>
      <c r="C608" s="35"/>
      <c r="D608" s="35"/>
      <c r="E608" s="35"/>
      <c r="F608" s="35"/>
      <c r="G608" s="35"/>
      <c r="H608" s="34"/>
      <c r="I608" s="36"/>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137"/>
      <c r="BK608" s="143"/>
      <c r="BL608" s="143"/>
      <c r="BM608" s="143"/>
      <c r="BN608" s="143"/>
      <c r="BO608" s="143"/>
      <c r="BP608" s="143"/>
      <c r="BQ608" s="143"/>
      <c r="BR608" s="143"/>
      <c r="BS608" s="143"/>
      <c r="BT608" s="143"/>
      <c r="BU608" s="143"/>
      <c r="BV608" s="143"/>
      <c r="BW608" s="143"/>
      <c r="BX608" s="143"/>
      <c r="BY608" s="143"/>
      <c r="BZ608" s="143"/>
      <c r="CA608" s="143"/>
      <c r="CB608" s="143"/>
      <c r="CC608" s="143"/>
      <c r="CD608" s="143"/>
    </row>
    <row r="609" spans="1:82" ht="16.5" customHeight="1" x14ac:dyDescent="0.15">
      <c r="A609" s="35"/>
      <c r="B609" s="35"/>
      <c r="C609" s="35"/>
      <c r="D609" s="35"/>
      <c r="E609" s="35"/>
      <c r="F609" s="35"/>
      <c r="G609" s="35"/>
      <c r="H609" s="34"/>
      <c r="I609" s="36"/>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137"/>
      <c r="BK609" s="143"/>
      <c r="BL609" s="143"/>
      <c r="BM609" s="143"/>
      <c r="BN609" s="143"/>
      <c r="BO609" s="143"/>
      <c r="BP609" s="143"/>
      <c r="BQ609" s="143"/>
      <c r="BR609" s="143"/>
      <c r="BS609" s="143"/>
      <c r="BT609" s="143"/>
      <c r="BU609" s="143"/>
      <c r="BV609" s="143"/>
      <c r="BW609" s="143"/>
      <c r="BX609" s="143"/>
      <c r="BY609" s="143"/>
      <c r="BZ609" s="143"/>
      <c r="CA609" s="143"/>
      <c r="CB609" s="143"/>
      <c r="CC609" s="143"/>
      <c r="CD609" s="143"/>
    </row>
    <row r="610" spans="1:82" ht="16.5" customHeight="1" x14ac:dyDescent="0.15">
      <c r="A610" s="35"/>
      <c r="B610" s="35"/>
      <c r="C610" s="35"/>
      <c r="D610" s="35"/>
      <c r="E610" s="35"/>
      <c r="F610" s="35"/>
      <c r="G610" s="35"/>
      <c r="H610" s="34"/>
      <c r="I610" s="36"/>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137"/>
      <c r="BK610" s="143"/>
      <c r="BL610" s="143"/>
      <c r="BM610" s="143"/>
      <c r="BN610" s="143"/>
      <c r="BO610" s="143"/>
      <c r="BP610" s="143"/>
      <c r="BQ610" s="143"/>
      <c r="BR610" s="143"/>
      <c r="BS610" s="143"/>
      <c r="BT610" s="143"/>
      <c r="BU610" s="143"/>
      <c r="BV610" s="143"/>
      <c r="BW610" s="143"/>
      <c r="BX610" s="143"/>
      <c r="BY610" s="143"/>
      <c r="BZ610" s="143"/>
      <c r="CA610" s="143"/>
      <c r="CB610" s="143"/>
      <c r="CC610" s="143"/>
      <c r="CD610" s="143"/>
    </row>
    <row r="611" spans="1:82" ht="16.5" customHeight="1" x14ac:dyDescent="0.15">
      <c r="A611" s="35"/>
      <c r="B611" s="35"/>
      <c r="C611" s="35"/>
      <c r="D611" s="35"/>
      <c r="E611" s="35"/>
      <c r="F611" s="35"/>
      <c r="G611" s="35"/>
      <c r="H611" s="34"/>
      <c r="I611" s="36"/>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137"/>
      <c r="BK611" s="143"/>
      <c r="BL611" s="143"/>
      <c r="BM611" s="143"/>
      <c r="BN611" s="143"/>
      <c r="BO611" s="143"/>
      <c r="BP611" s="143"/>
      <c r="BQ611" s="143"/>
      <c r="BR611" s="143"/>
      <c r="BS611" s="143"/>
      <c r="BT611" s="143"/>
      <c r="BU611" s="143"/>
      <c r="BV611" s="143"/>
      <c r="BW611" s="143"/>
      <c r="BX611" s="143"/>
      <c r="BY611" s="143"/>
      <c r="BZ611" s="143"/>
      <c r="CA611" s="143"/>
      <c r="CB611" s="143"/>
      <c r="CC611" s="143"/>
      <c r="CD611" s="143"/>
    </row>
    <row r="612" spans="1:82" ht="16.5" customHeight="1" x14ac:dyDescent="0.15">
      <c r="A612" s="35"/>
      <c r="B612" s="35"/>
      <c r="C612" s="35"/>
      <c r="D612" s="35"/>
      <c r="E612" s="35"/>
      <c r="F612" s="35"/>
      <c r="G612" s="35"/>
      <c r="H612" s="34"/>
      <c r="I612" s="36"/>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137"/>
      <c r="BK612" s="143"/>
      <c r="BL612" s="143"/>
      <c r="BM612" s="143"/>
      <c r="BN612" s="143"/>
      <c r="BO612" s="143"/>
      <c r="BP612" s="143"/>
      <c r="BQ612" s="143"/>
      <c r="BR612" s="143"/>
      <c r="BS612" s="143"/>
      <c r="BT612" s="143"/>
      <c r="BU612" s="143"/>
      <c r="BV612" s="143"/>
      <c r="BW612" s="143"/>
      <c r="BX612" s="143"/>
      <c r="BY612" s="143"/>
      <c r="BZ612" s="143"/>
      <c r="CA612" s="143"/>
      <c r="CB612" s="143"/>
      <c r="CC612" s="143"/>
      <c r="CD612" s="143"/>
    </row>
    <row r="613" spans="1:82" ht="16.5" customHeight="1" x14ac:dyDescent="0.15">
      <c r="A613" s="35"/>
      <c r="B613" s="35"/>
      <c r="C613" s="35"/>
      <c r="D613" s="35"/>
      <c r="E613" s="35"/>
      <c r="F613" s="35"/>
      <c r="G613" s="35"/>
      <c r="H613" s="34"/>
      <c r="I613" s="36"/>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137"/>
      <c r="BK613" s="143"/>
      <c r="BL613" s="143"/>
      <c r="BM613" s="143"/>
      <c r="BN613" s="143"/>
      <c r="BO613" s="143"/>
      <c r="BP613" s="143"/>
      <c r="BQ613" s="143"/>
      <c r="BR613" s="143"/>
      <c r="BS613" s="143"/>
      <c r="BT613" s="143"/>
      <c r="BU613" s="143"/>
      <c r="BV613" s="143"/>
      <c r="BW613" s="143"/>
      <c r="BX613" s="143"/>
      <c r="BY613" s="143"/>
      <c r="BZ613" s="143"/>
      <c r="CA613" s="143"/>
      <c r="CB613" s="143"/>
      <c r="CC613" s="143"/>
      <c r="CD613" s="143"/>
    </row>
    <row r="614" spans="1:82" ht="16.5" customHeight="1" x14ac:dyDescent="0.15">
      <c r="A614" s="35"/>
      <c r="B614" s="35"/>
      <c r="C614" s="35"/>
      <c r="D614" s="35"/>
      <c r="E614" s="35"/>
      <c r="F614" s="35"/>
      <c r="G614" s="35"/>
      <c r="H614" s="34"/>
      <c r="I614" s="36"/>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137"/>
      <c r="BK614" s="143"/>
      <c r="BL614" s="143"/>
      <c r="BM614" s="143"/>
      <c r="BN614" s="143"/>
      <c r="BO614" s="143"/>
      <c r="BP614" s="143"/>
      <c r="BQ614" s="143"/>
      <c r="BR614" s="143"/>
      <c r="BS614" s="143"/>
      <c r="BT614" s="143"/>
      <c r="BU614" s="143"/>
      <c r="BV614" s="143"/>
      <c r="BW614" s="143"/>
      <c r="BX614" s="143"/>
      <c r="BY614" s="143"/>
      <c r="BZ614" s="143"/>
      <c r="CA614" s="143"/>
      <c r="CB614" s="143"/>
      <c r="CC614" s="143"/>
      <c r="CD614" s="143"/>
    </row>
    <row r="615" spans="1:82" ht="16.5" customHeight="1" x14ac:dyDescent="0.15">
      <c r="A615" s="35"/>
      <c r="B615" s="35"/>
      <c r="C615" s="35"/>
      <c r="D615" s="35"/>
      <c r="E615" s="35"/>
      <c r="F615" s="35"/>
      <c r="G615" s="35"/>
      <c r="H615" s="34"/>
      <c r="I615" s="36"/>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137"/>
      <c r="BK615" s="143"/>
      <c r="BL615" s="143"/>
      <c r="BM615" s="143"/>
      <c r="BN615" s="143"/>
      <c r="BO615" s="143"/>
      <c r="BP615" s="143"/>
      <c r="BQ615" s="143"/>
      <c r="BR615" s="143"/>
      <c r="BS615" s="143"/>
      <c r="BT615" s="143"/>
      <c r="BU615" s="143"/>
      <c r="BV615" s="143"/>
      <c r="BW615" s="143"/>
      <c r="BX615" s="143"/>
      <c r="BY615" s="143"/>
      <c r="BZ615" s="143"/>
      <c r="CA615" s="143"/>
      <c r="CB615" s="143"/>
      <c r="CC615" s="143"/>
      <c r="CD615" s="143"/>
    </row>
    <row r="616" spans="1:82" ht="16.5" customHeight="1" x14ac:dyDescent="0.15">
      <c r="A616" s="35"/>
      <c r="B616" s="35"/>
      <c r="C616" s="35"/>
      <c r="D616" s="35"/>
      <c r="E616" s="35"/>
      <c r="F616" s="35"/>
      <c r="G616" s="35"/>
      <c r="H616" s="34"/>
      <c r="I616" s="36"/>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137"/>
      <c r="BK616" s="143"/>
      <c r="BL616" s="143"/>
      <c r="BM616" s="143"/>
      <c r="BN616" s="143"/>
      <c r="BO616" s="143"/>
      <c r="BP616" s="143"/>
      <c r="BQ616" s="143"/>
      <c r="BR616" s="143"/>
      <c r="BS616" s="143"/>
      <c r="BT616" s="143"/>
      <c r="BU616" s="143"/>
      <c r="BV616" s="143"/>
      <c r="BW616" s="143"/>
      <c r="BX616" s="143"/>
      <c r="BY616" s="143"/>
      <c r="BZ616" s="143"/>
      <c r="CA616" s="143"/>
      <c r="CB616" s="143"/>
      <c r="CC616" s="143"/>
      <c r="CD616" s="143"/>
    </row>
    <row r="617" spans="1:82" ht="16.5" customHeight="1" x14ac:dyDescent="0.15">
      <c r="A617" s="35"/>
      <c r="B617" s="35"/>
      <c r="C617" s="35"/>
      <c r="D617" s="35"/>
      <c r="E617" s="35"/>
      <c r="F617" s="35"/>
      <c r="G617" s="35"/>
      <c r="H617" s="34"/>
      <c r="I617" s="36"/>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137"/>
      <c r="BK617" s="143"/>
      <c r="BL617" s="143"/>
      <c r="BM617" s="143"/>
      <c r="BN617" s="143"/>
      <c r="BO617" s="143"/>
      <c r="BP617" s="143"/>
      <c r="BQ617" s="143"/>
      <c r="BR617" s="143"/>
      <c r="BS617" s="143"/>
      <c r="BT617" s="143"/>
      <c r="BU617" s="143"/>
      <c r="BV617" s="143"/>
      <c r="BW617" s="143"/>
      <c r="BX617" s="143"/>
      <c r="BY617" s="143"/>
      <c r="BZ617" s="143"/>
      <c r="CA617" s="143"/>
      <c r="CB617" s="143"/>
      <c r="CC617" s="143"/>
      <c r="CD617" s="143"/>
    </row>
    <row r="618" spans="1:82" ht="16.5" customHeight="1" x14ac:dyDescent="0.15">
      <c r="A618" s="35"/>
      <c r="B618" s="35"/>
      <c r="C618" s="35"/>
      <c r="D618" s="35"/>
      <c r="E618" s="35"/>
      <c r="F618" s="35"/>
      <c r="G618" s="35"/>
      <c r="H618" s="34"/>
      <c r="I618" s="36"/>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137"/>
      <c r="BK618" s="143"/>
      <c r="BL618" s="143"/>
      <c r="BM618" s="143"/>
      <c r="BN618" s="143"/>
      <c r="BO618" s="143"/>
      <c r="BP618" s="143"/>
      <c r="BQ618" s="143"/>
      <c r="BR618" s="143"/>
      <c r="BS618" s="143"/>
      <c r="BT618" s="143"/>
      <c r="BU618" s="143"/>
      <c r="BV618" s="143"/>
      <c r="BW618" s="143"/>
      <c r="BX618" s="143"/>
      <c r="BY618" s="143"/>
      <c r="BZ618" s="143"/>
      <c r="CA618" s="143"/>
      <c r="CB618" s="143"/>
      <c r="CC618" s="143"/>
      <c r="CD618" s="143"/>
    </row>
    <row r="619" spans="1:82" ht="16.5" customHeight="1" x14ac:dyDescent="0.15">
      <c r="A619" s="35"/>
      <c r="B619" s="35"/>
      <c r="C619" s="35"/>
      <c r="D619" s="35"/>
      <c r="E619" s="35"/>
      <c r="F619" s="35"/>
      <c r="G619" s="35"/>
      <c r="H619" s="34"/>
      <c r="I619" s="36"/>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137"/>
      <c r="BK619" s="143"/>
      <c r="BL619" s="143"/>
      <c r="BM619" s="143"/>
      <c r="BN619" s="143"/>
      <c r="BO619" s="143"/>
      <c r="BP619" s="143"/>
      <c r="BQ619" s="143"/>
      <c r="BR619" s="143"/>
      <c r="BS619" s="143"/>
      <c r="BT619" s="143"/>
      <c r="BU619" s="143"/>
      <c r="BV619" s="143"/>
      <c r="BW619" s="143"/>
      <c r="BX619" s="143"/>
      <c r="BY619" s="143"/>
      <c r="BZ619" s="143"/>
      <c r="CA619" s="143"/>
      <c r="CB619" s="143"/>
      <c r="CC619" s="143"/>
      <c r="CD619" s="143"/>
    </row>
    <row r="620" spans="1:82" ht="16.5" customHeight="1" x14ac:dyDescent="0.15">
      <c r="A620" s="35"/>
      <c r="B620" s="35"/>
      <c r="C620" s="35"/>
      <c r="D620" s="35"/>
      <c r="E620" s="35"/>
      <c r="F620" s="35"/>
      <c r="G620" s="35"/>
      <c r="H620" s="34"/>
      <c r="I620" s="36"/>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137"/>
      <c r="BK620" s="143"/>
      <c r="BL620" s="143"/>
      <c r="BM620" s="143"/>
      <c r="BN620" s="143"/>
      <c r="BO620" s="143"/>
      <c r="BP620" s="143"/>
      <c r="BQ620" s="143"/>
      <c r="BR620" s="143"/>
      <c r="BS620" s="143"/>
      <c r="BT620" s="143"/>
      <c r="BU620" s="143"/>
      <c r="BV620" s="143"/>
      <c r="BW620" s="143"/>
      <c r="BX620" s="143"/>
      <c r="BY620" s="143"/>
      <c r="BZ620" s="143"/>
      <c r="CA620" s="143"/>
      <c r="CB620" s="143"/>
      <c r="CC620" s="143"/>
      <c r="CD620" s="143"/>
    </row>
    <row r="621" spans="1:82" ht="16.5" customHeight="1" x14ac:dyDescent="0.15">
      <c r="A621" s="35"/>
      <c r="B621" s="35"/>
      <c r="C621" s="35"/>
      <c r="D621" s="35"/>
      <c r="E621" s="35"/>
      <c r="F621" s="35"/>
      <c r="G621" s="35"/>
      <c r="H621" s="34"/>
      <c r="I621" s="36"/>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137"/>
      <c r="BK621" s="143"/>
      <c r="BL621" s="143"/>
      <c r="BM621" s="143"/>
      <c r="BN621" s="143"/>
      <c r="BO621" s="143"/>
      <c r="BP621" s="143"/>
      <c r="BQ621" s="143"/>
      <c r="BR621" s="143"/>
      <c r="BS621" s="143"/>
      <c r="BT621" s="143"/>
      <c r="BU621" s="143"/>
      <c r="BV621" s="143"/>
      <c r="BW621" s="143"/>
      <c r="BX621" s="143"/>
      <c r="BY621" s="143"/>
      <c r="BZ621" s="143"/>
      <c r="CA621" s="143"/>
      <c r="CB621" s="143"/>
      <c r="CC621" s="143"/>
      <c r="CD621" s="143"/>
    </row>
    <row r="622" spans="1:82" ht="16.5" customHeight="1" x14ac:dyDescent="0.15">
      <c r="A622" s="35"/>
      <c r="B622" s="35"/>
      <c r="C622" s="35"/>
      <c r="D622" s="35"/>
      <c r="E622" s="35"/>
      <c r="F622" s="35"/>
      <c r="G622" s="35"/>
      <c r="H622" s="34"/>
      <c r="I622" s="36"/>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137"/>
      <c r="BK622" s="143"/>
      <c r="BL622" s="143"/>
      <c r="BM622" s="143"/>
      <c r="BN622" s="143"/>
      <c r="BO622" s="143"/>
      <c r="BP622" s="143"/>
      <c r="BQ622" s="143"/>
      <c r="BR622" s="143"/>
      <c r="BS622" s="143"/>
      <c r="BT622" s="143"/>
      <c r="BU622" s="143"/>
      <c r="BV622" s="143"/>
      <c r="BW622" s="143"/>
      <c r="BX622" s="143"/>
      <c r="BY622" s="143"/>
      <c r="BZ622" s="143"/>
      <c r="CA622" s="143"/>
      <c r="CB622" s="143"/>
      <c r="CC622" s="143"/>
      <c r="CD622" s="143"/>
    </row>
    <row r="623" spans="1:82" ht="16.5" customHeight="1" x14ac:dyDescent="0.15">
      <c r="A623" s="35"/>
      <c r="B623" s="35"/>
      <c r="C623" s="35"/>
      <c r="D623" s="35"/>
      <c r="E623" s="35"/>
      <c r="F623" s="35"/>
      <c r="G623" s="35"/>
      <c r="H623" s="34"/>
      <c r="I623" s="36"/>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137"/>
      <c r="BK623" s="143"/>
      <c r="BL623" s="143"/>
      <c r="BM623" s="143"/>
      <c r="BN623" s="143"/>
      <c r="BO623" s="143"/>
      <c r="BP623" s="143"/>
      <c r="BQ623" s="143"/>
      <c r="BR623" s="143"/>
      <c r="BS623" s="143"/>
      <c r="BT623" s="143"/>
      <c r="BU623" s="143"/>
      <c r="BV623" s="143"/>
      <c r="BW623" s="143"/>
      <c r="BX623" s="143"/>
      <c r="BY623" s="143"/>
      <c r="BZ623" s="143"/>
      <c r="CA623" s="143"/>
      <c r="CB623" s="143"/>
      <c r="CC623" s="143"/>
      <c r="CD623" s="143"/>
    </row>
    <row r="624" spans="1:82" ht="16.5" customHeight="1" x14ac:dyDescent="0.15">
      <c r="A624" s="35"/>
      <c r="B624" s="35"/>
      <c r="C624" s="35"/>
      <c r="D624" s="35"/>
      <c r="E624" s="35"/>
      <c r="F624" s="35"/>
      <c r="G624" s="35"/>
      <c r="H624" s="34"/>
      <c r="I624" s="36"/>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137"/>
      <c r="BK624" s="143"/>
      <c r="BL624" s="143"/>
      <c r="BM624" s="143"/>
      <c r="BN624" s="143"/>
      <c r="BO624" s="143"/>
      <c r="BP624" s="143"/>
      <c r="BQ624" s="143"/>
      <c r="BR624" s="143"/>
      <c r="BS624" s="143"/>
      <c r="BT624" s="143"/>
      <c r="BU624" s="143"/>
      <c r="BV624" s="143"/>
      <c r="BW624" s="143"/>
      <c r="BX624" s="143"/>
      <c r="BY624" s="143"/>
      <c r="BZ624" s="143"/>
      <c r="CA624" s="143"/>
      <c r="CB624" s="143"/>
      <c r="CC624" s="143"/>
      <c r="CD624" s="143"/>
    </row>
    <row r="625" spans="1:82" ht="16.5" customHeight="1" x14ac:dyDescent="0.15">
      <c r="A625" s="35"/>
      <c r="B625" s="35"/>
      <c r="C625" s="35"/>
      <c r="D625" s="35"/>
      <c r="E625" s="35"/>
      <c r="F625" s="35"/>
      <c r="G625" s="35"/>
      <c r="H625" s="34"/>
      <c r="I625" s="36"/>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137"/>
      <c r="BK625" s="143"/>
      <c r="BL625" s="143"/>
      <c r="BM625" s="143"/>
      <c r="BN625" s="143"/>
      <c r="BO625" s="143"/>
      <c r="BP625" s="143"/>
      <c r="BQ625" s="143"/>
      <c r="BR625" s="143"/>
      <c r="BS625" s="143"/>
      <c r="BT625" s="143"/>
      <c r="BU625" s="143"/>
      <c r="BV625" s="143"/>
      <c r="BW625" s="143"/>
      <c r="BX625" s="143"/>
      <c r="BY625" s="143"/>
      <c r="BZ625" s="143"/>
      <c r="CA625" s="143"/>
      <c r="CB625" s="143"/>
      <c r="CC625" s="143"/>
      <c r="CD625" s="143"/>
    </row>
    <row r="626" spans="1:82" ht="16.5" customHeight="1" x14ac:dyDescent="0.15">
      <c r="A626" s="35"/>
      <c r="B626" s="35"/>
      <c r="C626" s="35"/>
      <c r="D626" s="35"/>
      <c r="E626" s="35"/>
      <c r="F626" s="35"/>
      <c r="G626" s="35"/>
      <c r="H626" s="34"/>
      <c r="I626" s="36"/>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137"/>
      <c r="BK626" s="143"/>
      <c r="BL626" s="143"/>
      <c r="BM626" s="143"/>
      <c r="BN626" s="143"/>
      <c r="BO626" s="143"/>
      <c r="BP626" s="143"/>
      <c r="BQ626" s="143"/>
      <c r="BR626" s="143"/>
      <c r="BS626" s="143"/>
      <c r="BT626" s="143"/>
      <c r="BU626" s="143"/>
      <c r="BV626" s="143"/>
      <c r="BW626" s="143"/>
      <c r="BX626" s="143"/>
      <c r="BY626" s="143"/>
      <c r="BZ626" s="143"/>
      <c r="CA626" s="143"/>
      <c r="CB626" s="143"/>
      <c r="CC626" s="143"/>
      <c r="CD626" s="143"/>
    </row>
    <row r="627" spans="1:82" ht="16.5" customHeight="1" x14ac:dyDescent="0.15">
      <c r="A627" s="35"/>
      <c r="B627" s="35"/>
      <c r="C627" s="35"/>
      <c r="D627" s="35"/>
      <c r="E627" s="35"/>
      <c r="F627" s="35"/>
      <c r="G627" s="35"/>
      <c r="H627" s="34"/>
      <c r="I627" s="36"/>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137"/>
      <c r="BK627" s="143"/>
      <c r="BL627" s="143"/>
      <c r="BM627" s="143"/>
      <c r="BN627" s="143"/>
      <c r="BO627" s="143"/>
      <c r="BP627" s="143"/>
      <c r="BQ627" s="143"/>
      <c r="BR627" s="143"/>
      <c r="BS627" s="143"/>
      <c r="BT627" s="143"/>
      <c r="BU627" s="143"/>
      <c r="BV627" s="143"/>
      <c r="BW627" s="143"/>
      <c r="BX627" s="143"/>
      <c r="BY627" s="143"/>
      <c r="BZ627" s="143"/>
      <c r="CA627" s="143"/>
      <c r="CB627" s="143"/>
      <c r="CC627" s="143"/>
      <c r="CD627" s="143"/>
    </row>
    <row r="628" spans="1:82" ht="16.5" customHeight="1" x14ac:dyDescent="0.15">
      <c r="A628" s="35"/>
      <c r="B628" s="35"/>
      <c r="C628" s="35"/>
      <c r="D628" s="35"/>
      <c r="E628" s="35"/>
      <c r="F628" s="35"/>
      <c r="G628" s="35"/>
      <c r="H628" s="34"/>
      <c r="I628" s="36"/>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137"/>
      <c r="BK628" s="143"/>
      <c r="BL628" s="143"/>
      <c r="BM628" s="143"/>
      <c r="BN628" s="143"/>
      <c r="BO628" s="143"/>
      <c r="BP628" s="143"/>
      <c r="BQ628" s="143"/>
      <c r="BR628" s="143"/>
      <c r="BS628" s="143"/>
      <c r="BT628" s="143"/>
      <c r="BU628" s="143"/>
      <c r="BV628" s="143"/>
      <c r="BW628" s="143"/>
      <c r="BX628" s="143"/>
      <c r="BY628" s="143"/>
      <c r="BZ628" s="143"/>
      <c r="CA628" s="143"/>
      <c r="CB628" s="143"/>
      <c r="CC628" s="143"/>
      <c r="CD628" s="143"/>
    </row>
    <row r="629" spans="1:82" ht="16.5" customHeight="1" x14ac:dyDescent="0.15">
      <c r="A629" s="35"/>
      <c r="B629" s="35"/>
      <c r="C629" s="35"/>
      <c r="D629" s="35"/>
      <c r="E629" s="35"/>
      <c r="F629" s="35"/>
      <c r="G629" s="35"/>
      <c r="H629" s="34"/>
      <c r="I629" s="36"/>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137"/>
      <c r="BK629" s="143"/>
      <c r="BL629" s="143"/>
      <c r="BM629" s="143"/>
      <c r="BN629" s="143"/>
      <c r="BO629" s="143"/>
      <c r="BP629" s="143"/>
      <c r="BQ629" s="143"/>
      <c r="BR629" s="143"/>
      <c r="BS629" s="143"/>
      <c r="BT629" s="143"/>
      <c r="BU629" s="143"/>
      <c r="BV629" s="143"/>
      <c r="BW629" s="143"/>
      <c r="BX629" s="143"/>
      <c r="BY629" s="143"/>
      <c r="BZ629" s="143"/>
      <c r="CA629" s="143"/>
      <c r="CB629" s="143"/>
      <c r="CC629" s="143"/>
      <c r="CD629" s="143"/>
    </row>
    <row r="630" spans="1:82" ht="16.5" customHeight="1" x14ac:dyDescent="0.15">
      <c r="A630" s="35"/>
      <c r="B630" s="35"/>
      <c r="C630" s="35"/>
      <c r="D630" s="35"/>
      <c r="E630" s="35"/>
      <c r="F630" s="35"/>
      <c r="G630" s="35"/>
      <c r="H630" s="34"/>
      <c r="I630" s="36"/>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137"/>
      <c r="BK630" s="143"/>
      <c r="BL630" s="143"/>
      <c r="BM630" s="143"/>
      <c r="BN630" s="143"/>
      <c r="BO630" s="143"/>
      <c r="BP630" s="143"/>
      <c r="BQ630" s="143"/>
      <c r="BR630" s="143"/>
      <c r="BS630" s="143"/>
      <c r="BT630" s="143"/>
      <c r="BU630" s="143"/>
      <c r="BV630" s="143"/>
      <c r="BW630" s="143"/>
      <c r="BX630" s="143"/>
      <c r="BY630" s="143"/>
      <c r="BZ630" s="143"/>
      <c r="CA630" s="143"/>
      <c r="CB630" s="143"/>
      <c r="CC630" s="143"/>
      <c r="CD630" s="143"/>
    </row>
    <row r="631" spans="1:82" ht="16.5" customHeight="1" x14ac:dyDescent="0.15">
      <c r="A631" s="35"/>
      <c r="B631" s="35"/>
      <c r="C631" s="35"/>
      <c r="D631" s="35"/>
      <c r="E631" s="35"/>
      <c r="F631" s="35"/>
      <c r="G631" s="35"/>
      <c r="H631" s="34"/>
      <c r="I631" s="36"/>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137"/>
      <c r="BK631" s="143"/>
      <c r="BL631" s="143"/>
      <c r="BM631" s="143"/>
      <c r="BN631" s="143"/>
      <c r="BO631" s="143"/>
      <c r="BP631" s="143"/>
      <c r="BQ631" s="143"/>
      <c r="BR631" s="143"/>
      <c r="BS631" s="143"/>
      <c r="BT631" s="143"/>
      <c r="BU631" s="143"/>
      <c r="BV631" s="143"/>
      <c r="BW631" s="143"/>
      <c r="BX631" s="143"/>
      <c r="BY631" s="143"/>
      <c r="BZ631" s="143"/>
      <c r="CA631" s="143"/>
      <c r="CB631" s="143"/>
      <c r="CC631" s="143"/>
      <c r="CD631" s="143"/>
    </row>
    <row r="632" spans="1:82" ht="16.5" customHeight="1" x14ac:dyDescent="0.15">
      <c r="A632" s="35"/>
      <c r="B632" s="35"/>
      <c r="C632" s="35"/>
      <c r="D632" s="35"/>
      <c r="E632" s="35"/>
      <c r="F632" s="35"/>
      <c r="G632" s="35"/>
      <c r="H632" s="34"/>
      <c r="I632" s="36"/>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137"/>
      <c r="BK632" s="143"/>
      <c r="BL632" s="143"/>
      <c r="BM632" s="143"/>
      <c r="BN632" s="143"/>
      <c r="BO632" s="143"/>
      <c r="BP632" s="143"/>
      <c r="BQ632" s="143"/>
      <c r="BR632" s="143"/>
      <c r="BS632" s="143"/>
      <c r="BT632" s="143"/>
      <c r="BU632" s="143"/>
      <c r="BV632" s="143"/>
      <c r="BW632" s="143"/>
      <c r="BX632" s="143"/>
      <c r="BY632" s="143"/>
      <c r="BZ632" s="143"/>
      <c r="CA632" s="143"/>
      <c r="CB632" s="143"/>
      <c r="CC632" s="143"/>
      <c r="CD632" s="143"/>
    </row>
    <row r="633" spans="1:82" ht="16.5" customHeight="1" x14ac:dyDescent="0.15">
      <c r="A633" s="35"/>
      <c r="B633" s="35"/>
      <c r="C633" s="35"/>
      <c r="D633" s="35"/>
      <c r="E633" s="35"/>
      <c r="F633" s="35"/>
      <c r="G633" s="35"/>
      <c r="H633" s="34"/>
      <c r="I633" s="36"/>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137"/>
      <c r="BK633" s="143"/>
      <c r="BL633" s="143"/>
      <c r="BM633" s="143"/>
      <c r="BN633" s="143"/>
      <c r="BO633" s="143"/>
      <c r="BP633" s="143"/>
      <c r="BQ633" s="143"/>
      <c r="BR633" s="143"/>
      <c r="BS633" s="143"/>
      <c r="BT633" s="143"/>
      <c r="BU633" s="143"/>
      <c r="BV633" s="143"/>
      <c r="BW633" s="143"/>
      <c r="BX633" s="143"/>
      <c r="BY633" s="143"/>
      <c r="BZ633" s="143"/>
      <c r="CA633" s="143"/>
      <c r="CB633" s="143"/>
      <c r="CC633" s="143"/>
      <c r="CD633" s="143"/>
    </row>
    <row r="634" spans="1:82" ht="16.5" customHeight="1" x14ac:dyDescent="0.15">
      <c r="A634" s="35"/>
      <c r="B634" s="35"/>
      <c r="C634" s="35"/>
      <c r="D634" s="35"/>
      <c r="E634" s="35"/>
      <c r="F634" s="35"/>
      <c r="G634" s="35"/>
      <c r="H634" s="34"/>
      <c r="I634" s="36"/>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137"/>
      <c r="BK634" s="143"/>
      <c r="BL634" s="143"/>
      <c r="BM634" s="143"/>
      <c r="BN634" s="143"/>
      <c r="BO634" s="143"/>
      <c r="BP634" s="143"/>
      <c r="BQ634" s="143"/>
      <c r="BR634" s="143"/>
      <c r="BS634" s="143"/>
      <c r="BT634" s="143"/>
      <c r="BU634" s="143"/>
      <c r="BV634" s="143"/>
      <c r="BW634" s="143"/>
      <c r="BX634" s="143"/>
      <c r="BY634" s="143"/>
      <c r="BZ634" s="143"/>
      <c r="CA634" s="143"/>
      <c r="CB634" s="143"/>
      <c r="CC634" s="143"/>
      <c r="CD634" s="143"/>
    </row>
    <row r="635" spans="1:82" ht="16.5" customHeight="1" x14ac:dyDescent="0.15">
      <c r="A635" s="35"/>
      <c r="B635" s="35"/>
      <c r="C635" s="35"/>
      <c r="D635" s="35"/>
      <c r="E635" s="35"/>
      <c r="F635" s="35"/>
      <c r="G635" s="35"/>
      <c r="H635" s="34"/>
      <c r="I635" s="36"/>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137"/>
      <c r="BK635" s="143"/>
      <c r="BL635" s="143"/>
      <c r="BM635" s="143"/>
      <c r="BN635" s="143"/>
      <c r="BO635" s="143"/>
      <c r="BP635" s="143"/>
      <c r="BQ635" s="143"/>
      <c r="BR635" s="143"/>
      <c r="BS635" s="143"/>
      <c r="BT635" s="143"/>
      <c r="BU635" s="143"/>
      <c r="BV635" s="143"/>
      <c r="BW635" s="143"/>
      <c r="BX635" s="143"/>
      <c r="BY635" s="143"/>
      <c r="BZ635" s="143"/>
      <c r="CA635" s="143"/>
      <c r="CB635" s="143"/>
      <c r="CC635" s="143"/>
      <c r="CD635" s="143"/>
    </row>
    <row r="636" spans="1:82" ht="16.5" customHeight="1" x14ac:dyDescent="0.15">
      <c r="A636" s="35"/>
      <c r="B636" s="35"/>
      <c r="C636" s="35"/>
      <c r="D636" s="35"/>
      <c r="E636" s="35"/>
      <c r="F636" s="35"/>
      <c r="G636" s="35"/>
      <c r="H636" s="34"/>
      <c r="I636" s="36"/>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137"/>
      <c r="BK636" s="143"/>
      <c r="BL636" s="143"/>
      <c r="BM636" s="143"/>
      <c r="BN636" s="143"/>
      <c r="BO636" s="143"/>
      <c r="BP636" s="143"/>
      <c r="BQ636" s="143"/>
      <c r="BR636" s="143"/>
      <c r="BS636" s="143"/>
      <c r="BT636" s="143"/>
      <c r="BU636" s="143"/>
      <c r="BV636" s="143"/>
      <c r="BW636" s="143"/>
      <c r="BX636" s="143"/>
      <c r="BY636" s="143"/>
      <c r="BZ636" s="143"/>
      <c r="CA636" s="143"/>
      <c r="CB636" s="143"/>
      <c r="CC636" s="143"/>
      <c r="CD636" s="143"/>
    </row>
    <row r="637" spans="1:82" ht="16.5" customHeight="1" x14ac:dyDescent="0.15">
      <c r="A637" s="35"/>
      <c r="B637" s="35"/>
      <c r="C637" s="35"/>
      <c r="D637" s="35"/>
      <c r="E637" s="35"/>
      <c r="F637" s="35"/>
      <c r="G637" s="35"/>
      <c r="H637" s="34"/>
      <c r="I637" s="36"/>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137"/>
      <c r="BK637" s="143"/>
      <c r="BL637" s="143"/>
      <c r="BM637" s="143"/>
      <c r="BN637" s="143"/>
      <c r="BO637" s="143"/>
      <c r="BP637" s="143"/>
      <c r="BQ637" s="143"/>
      <c r="BR637" s="143"/>
      <c r="BS637" s="143"/>
      <c r="BT637" s="143"/>
      <c r="BU637" s="143"/>
      <c r="BV637" s="143"/>
      <c r="BW637" s="143"/>
      <c r="BX637" s="143"/>
      <c r="BY637" s="143"/>
      <c r="BZ637" s="143"/>
      <c r="CA637" s="143"/>
      <c r="CB637" s="143"/>
      <c r="CC637" s="143"/>
      <c r="CD637" s="143"/>
    </row>
    <row r="638" spans="1:82" ht="16.5" customHeight="1" x14ac:dyDescent="0.15">
      <c r="A638" s="35"/>
      <c r="B638" s="35"/>
      <c r="C638" s="35"/>
      <c r="D638" s="35"/>
      <c r="E638" s="35"/>
      <c r="F638" s="35"/>
      <c r="G638" s="35"/>
      <c r="H638" s="34"/>
      <c r="I638" s="36"/>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137"/>
      <c r="BK638" s="143"/>
      <c r="BL638" s="143"/>
      <c r="BM638" s="143"/>
      <c r="BN638" s="143"/>
      <c r="BO638" s="143"/>
      <c r="BP638" s="143"/>
      <c r="BQ638" s="143"/>
      <c r="BR638" s="143"/>
      <c r="BS638" s="143"/>
      <c r="BT638" s="143"/>
      <c r="BU638" s="143"/>
      <c r="BV638" s="143"/>
      <c r="BW638" s="143"/>
      <c r="BX638" s="143"/>
      <c r="BY638" s="143"/>
      <c r="BZ638" s="143"/>
      <c r="CA638" s="143"/>
      <c r="CB638" s="143"/>
      <c r="CC638" s="143"/>
      <c r="CD638" s="143"/>
    </row>
    <row r="639" spans="1:82" ht="16.5" customHeight="1" x14ac:dyDescent="0.15">
      <c r="A639" s="35"/>
      <c r="B639" s="35"/>
      <c r="C639" s="35"/>
      <c r="D639" s="35"/>
      <c r="E639" s="35"/>
      <c r="F639" s="35"/>
      <c r="G639" s="35"/>
      <c r="H639" s="34"/>
      <c r="I639" s="36"/>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137"/>
      <c r="BK639" s="143"/>
      <c r="BL639" s="143"/>
      <c r="BM639" s="143"/>
      <c r="BN639" s="143"/>
      <c r="BO639" s="143"/>
      <c r="BP639" s="143"/>
      <c r="BQ639" s="143"/>
      <c r="BR639" s="143"/>
      <c r="BS639" s="143"/>
      <c r="BT639" s="143"/>
      <c r="BU639" s="143"/>
      <c r="BV639" s="143"/>
      <c r="BW639" s="143"/>
      <c r="BX639" s="143"/>
      <c r="BY639" s="143"/>
      <c r="BZ639" s="143"/>
      <c r="CA639" s="143"/>
      <c r="CB639" s="143"/>
      <c r="CC639" s="143"/>
      <c r="CD639" s="143"/>
    </row>
    <row r="640" spans="1:82" ht="16.5" customHeight="1" x14ac:dyDescent="0.15">
      <c r="A640" s="35"/>
      <c r="B640" s="35"/>
      <c r="C640" s="35"/>
      <c r="D640" s="35"/>
      <c r="E640" s="35"/>
      <c r="F640" s="35"/>
      <c r="G640" s="35"/>
      <c r="H640" s="34"/>
      <c r="I640" s="36"/>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137"/>
      <c r="BK640" s="143"/>
      <c r="BL640" s="143"/>
      <c r="BM640" s="143"/>
      <c r="BN640" s="143"/>
      <c r="BO640" s="143"/>
      <c r="BP640" s="143"/>
      <c r="BQ640" s="143"/>
      <c r="BR640" s="143"/>
      <c r="BS640" s="143"/>
      <c r="BT640" s="143"/>
      <c r="BU640" s="143"/>
      <c r="BV640" s="143"/>
      <c r="BW640" s="143"/>
      <c r="BX640" s="143"/>
      <c r="BY640" s="143"/>
      <c r="BZ640" s="143"/>
      <c r="CA640" s="143"/>
      <c r="CB640" s="143"/>
      <c r="CC640" s="143"/>
      <c r="CD640" s="143"/>
    </row>
    <row r="641" spans="1:82" ht="16.5" customHeight="1" x14ac:dyDescent="0.15">
      <c r="A641" s="35"/>
      <c r="B641" s="35"/>
      <c r="C641" s="35"/>
      <c r="D641" s="35"/>
      <c r="E641" s="35"/>
      <c r="F641" s="35"/>
      <c r="G641" s="35"/>
      <c r="H641" s="34"/>
      <c r="I641" s="36"/>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137"/>
      <c r="BK641" s="143"/>
      <c r="BL641" s="143"/>
      <c r="BM641" s="143"/>
      <c r="BN641" s="143"/>
      <c r="BO641" s="143"/>
      <c r="BP641" s="143"/>
      <c r="BQ641" s="143"/>
      <c r="BR641" s="143"/>
      <c r="BS641" s="143"/>
      <c r="BT641" s="143"/>
      <c r="BU641" s="143"/>
      <c r="BV641" s="143"/>
      <c r="BW641" s="143"/>
      <c r="BX641" s="143"/>
      <c r="BY641" s="143"/>
      <c r="BZ641" s="143"/>
      <c r="CA641" s="143"/>
      <c r="CB641" s="143"/>
      <c r="CC641" s="143"/>
      <c r="CD641" s="143"/>
    </row>
    <row r="642" spans="1:82" ht="16.5" customHeight="1" x14ac:dyDescent="0.15">
      <c r="A642" s="35"/>
      <c r="B642" s="35"/>
      <c r="C642" s="35"/>
      <c r="D642" s="35"/>
      <c r="E642" s="35"/>
      <c r="F642" s="35"/>
      <c r="G642" s="35"/>
      <c r="H642" s="34"/>
      <c r="I642" s="36"/>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137"/>
      <c r="BK642" s="143"/>
      <c r="BL642" s="143"/>
      <c r="BM642" s="143"/>
      <c r="BN642" s="143"/>
      <c r="BO642" s="143"/>
      <c r="BP642" s="143"/>
      <c r="BQ642" s="143"/>
      <c r="BR642" s="143"/>
      <c r="BS642" s="143"/>
      <c r="BT642" s="143"/>
      <c r="BU642" s="143"/>
      <c r="BV642" s="143"/>
      <c r="BW642" s="143"/>
      <c r="BX642" s="143"/>
      <c r="BY642" s="143"/>
      <c r="BZ642" s="143"/>
      <c r="CA642" s="143"/>
      <c r="CB642" s="143"/>
      <c r="CC642" s="143"/>
      <c r="CD642" s="143"/>
    </row>
    <row r="643" spans="1:82" ht="16.5" customHeight="1" x14ac:dyDescent="0.15">
      <c r="A643" s="35"/>
      <c r="B643" s="35"/>
      <c r="C643" s="35"/>
      <c r="D643" s="35"/>
      <c r="E643" s="35"/>
      <c r="F643" s="35"/>
      <c r="G643" s="35"/>
      <c r="H643" s="34"/>
      <c r="I643" s="36"/>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137"/>
      <c r="BK643" s="143"/>
      <c r="BL643" s="143"/>
      <c r="BM643" s="143"/>
      <c r="BN643" s="143"/>
      <c r="BO643" s="143"/>
      <c r="BP643" s="143"/>
      <c r="BQ643" s="143"/>
      <c r="BR643" s="143"/>
      <c r="BS643" s="143"/>
      <c r="BT643" s="143"/>
      <c r="BU643" s="143"/>
      <c r="BV643" s="143"/>
      <c r="BW643" s="143"/>
      <c r="BX643" s="143"/>
      <c r="BY643" s="143"/>
      <c r="BZ643" s="143"/>
      <c r="CA643" s="143"/>
      <c r="CB643" s="143"/>
      <c r="CC643" s="143"/>
      <c r="CD643" s="143"/>
    </row>
    <row r="644" spans="1:82" ht="16.5" customHeight="1" x14ac:dyDescent="0.15">
      <c r="A644" s="35"/>
      <c r="B644" s="35"/>
      <c r="C644" s="35"/>
      <c r="D644" s="35"/>
      <c r="E644" s="35"/>
      <c r="F644" s="35"/>
      <c r="G644" s="35"/>
      <c r="H644" s="34"/>
      <c r="I644" s="36"/>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137"/>
      <c r="BK644" s="143"/>
      <c r="BL644" s="143"/>
      <c r="BM644" s="143"/>
      <c r="BN644" s="143"/>
      <c r="BO644" s="143"/>
      <c r="BP644" s="143"/>
      <c r="BQ644" s="143"/>
      <c r="BR644" s="143"/>
      <c r="BS644" s="143"/>
      <c r="BT644" s="143"/>
      <c r="BU644" s="143"/>
      <c r="BV644" s="143"/>
      <c r="BW644" s="143"/>
      <c r="BX644" s="143"/>
      <c r="BY644" s="143"/>
      <c r="BZ644" s="143"/>
      <c r="CA644" s="143"/>
      <c r="CB644" s="143"/>
      <c r="CC644" s="143"/>
      <c r="CD644" s="143"/>
    </row>
    <row r="645" spans="1:82" ht="16.5" customHeight="1" x14ac:dyDescent="0.15">
      <c r="A645" s="35"/>
      <c r="B645" s="35"/>
      <c r="C645" s="35"/>
      <c r="D645" s="35"/>
      <c r="E645" s="35"/>
      <c r="F645" s="35"/>
      <c r="G645" s="35"/>
      <c r="H645" s="34"/>
      <c r="I645" s="36"/>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137"/>
      <c r="BK645" s="143"/>
      <c r="BL645" s="143"/>
      <c r="BM645" s="143"/>
      <c r="BN645" s="143"/>
      <c r="BO645" s="143"/>
      <c r="BP645" s="143"/>
      <c r="BQ645" s="143"/>
      <c r="BR645" s="143"/>
      <c r="BS645" s="143"/>
      <c r="BT645" s="143"/>
      <c r="BU645" s="143"/>
      <c r="BV645" s="143"/>
      <c r="BW645" s="143"/>
      <c r="BX645" s="143"/>
      <c r="BY645" s="143"/>
      <c r="BZ645" s="143"/>
      <c r="CA645" s="143"/>
      <c r="CB645" s="143"/>
      <c r="CC645" s="143"/>
      <c r="CD645" s="143"/>
    </row>
    <row r="646" spans="1:82" ht="16.5" customHeight="1" x14ac:dyDescent="0.15">
      <c r="A646" s="35"/>
      <c r="B646" s="35"/>
      <c r="C646" s="35"/>
      <c r="D646" s="35"/>
      <c r="E646" s="35"/>
      <c r="F646" s="35"/>
      <c r="G646" s="35"/>
      <c r="H646" s="34"/>
      <c r="I646" s="36"/>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137"/>
      <c r="BK646" s="143"/>
      <c r="BL646" s="143"/>
      <c r="BM646" s="143"/>
      <c r="BN646" s="143"/>
      <c r="BO646" s="143"/>
      <c r="BP646" s="143"/>
      <c r="BQ646" s="143"/>
      <c r="BR646" s="143"/>
      <c r="BS646" s="143"/>
      <c r="BT646" s="143"/>
      <c r="BU646" s="143"/>
      <c r="BV646" s="143"/>
      <c r="BW646" s="143"/>
      <c r="BX646" s="143"/>
      <c r="BY646" s="143"/>
      <c r="BZ646" s="143"/>
      <c r="CA646" s="143"/>
      <c r="CB646" s="143"/>
      <c r="CC646" s="143"/>
      <c r="CD646" s="143"/>
    </row>
    <row r="647" spans="1:82" ht="16.5" customHeight="1" x14ac:dyDescent="0.15">
      <c r="A647" s="35"/>
      <c r="B647" s="35"/>
      <c r="C647" s="35"/>
      <c r="D647" s="35"/>
      <c r="E647" s="35"/>
      <c r="F647" s="35"/>
      <c r="G647" s="35"/>
      <c r="H647" s="34"/>
      <c r="I647" s="36"/>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137"/>
      <c r="BK647" s="143"/>
      <c r="BL647" s="143"/>
      <c r="BM647" s="143"/>
      <c r="BN647" s="143"/>
      <c r="BO647" s="143"/>
      <c r="BP647" s="143"/>
      <c r="BQ647" s="143"/>
      <c r="BR647" s="143"/>
      <c r="BS647" s="143"/>
      <c r="BT647" s="143"/>
      <c r="BU647" s="143"/>
      <c r="BV647" s="143"/>
      <c r="BW647" s="143"/>
      <c r="BX647" s="143"/>
      <c r="BY647" s="143"/>
      <c r="BZ647" s="143"/>
      <c r="CA647" s="143"/>
      <c r="CB647" s="143"/>
      <c r="CC647" s="143"/>
      <c r="CD647" s="143"/>
    </row>
    <row r="648" spans="1:82" ht="16.5" customHeight="1" x14ac:dyDescent="0.15">
      <c r="A648" s="35"/>
      <c r="B648" s="35"/>
      <c r="C648" s="35"/>
      <c r="D648" s="35"/>
      <c r="E648" s="35"/>
      <c r="F648" s="35"/>
      <c r="G648" s="35"/>
      <c r="H648" s="34"/>
      <c r="I648" s="36"/>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137"/>
      <c r="BK648" s="143"/>
      <c r="BL648" s="143"/>
      <c r="BM648" s="143"/>
      <c r="BN648" s="143"/>
      <c r="BO648" s="143"/>
      <c r="BP648" s="143"/>
      <c r="BQ648" s="143"/>
      <c r="BR648" s="143"/>
      <c r="BS648" s="143"/>
      <c r="BT648" s="143"/>
      <c r="BU648" s="143"/>
      <c r="BV648" s="143"/>
      <c r="BW648" s="143"/>
      <c r="BX648" s="143"/>
      <c r="BY648" s="143"/>
      <c r="BZ648" s="143"/>
      <c r="CA648" s="143"/>
      <c r="CB648" s="143"/>
      <c r="CC648" s="143"/>
      <c r="CD648" s="143"/>
    </row>
    <row r="649" spans="1:82" ht="16.5" customHeight="1" x14ac:dyDescent="0.15">
      <c r="A649" s="35"/>
      <c r="B649" s="35"/>
      <c r="C649" s="35"/>
      <c r="D649" s="35"/>
      <c r="E649" s="35"/>
      <c r="F649" s="35"/>
      <c r="G649" s="35"/>
      <c r="H649" s="34"/>
      <c r="I649" s="36"/>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137"/>
      <c r="BK649" s="143"/>
      <c r="BL649" s="143"/>
      <c r="BM649" s="143"/>
      <c r="BN649" s="143"/>
      <c r="BO649" s="143"/>
      <c r="BP649" s="143"/>
      <c r="BQ649" s="143"/>
      <c r="BR649" s="143"/>
      <c r="BS649" s="143"/>
      <c r="BT649" s="143"/>
      <c r="BU649" s="143"/>
      <c r="BV649" s="143"/>
      <c r="BW649" s="143"/>
      <c r="BX649" s="143"/>
      <c r="BY649" s="143"/>
      <c r="BZ649" s="143"/>
      <c r="CA649" s="143"/>
      <c r="CB649" s="143"/>
      <c r="CC649" s="143"/>
      <c r="CD649" s="143"/>
    </row>
    <row r="650" spans="1:82" ht="16.5" customHeight="1" x14ac:dyDescent="0.15">
      <c r="A650" s="35"/>
      <c r="B650" s="35"/>
      <c r="C650" s="35"/>
      <c r="D650" s="35"/>
      <c r="E650" s="35"/>
      <c r="F650" s="35"/>
      <c r="G650" s="35"/>
      <c r="H650" s="34"/>
      <c r="I650" s="36"/>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137"/>
      <c r="BK650" s="143"/>
      <c r="BL650" s="143"/>
      <c r="BM650" s="143"/>
      <c r="BN650" s="143"/>
      <c r="BO650" s="143"/>
      <c r="BP650" s="143"/>
      <c r="BQ650" s="143"/>
      <c r="BR650" s="143"/>
      <c r="BS650" s="143"/>
      <c r="BT650" s="143"/>
      <c r="BU650" s="143"/>
      <c r="BV650" s="143"/>
      <c r="BW650" s="143"/>
      <c r="BX650" s="143"/>
      <c r="BY650" s="143"/>
      <c r="BZ650" s="143"/>
      <c r="CA650" s="143"/>
      <c r="CB650" s="143"/>
      <c r="CC650" s="143"/>
      <c r="CD650" s="143"/>
    </row>
    <row r="651" spans="1:82" ht="16.5" customHeight="1" x14ac:dyDescent="0.15">
      <c r="A651" s="35"/>
      <c r="B651" s="35"/>
      <c r="C651" s="35"/>
      <c r="D651" s="35"/>
      <c r="E651" s="35"/>
      <c r="F651" s="35"/>
      <c r="G651" s="35"/>
      <c r="H651" s="34"/>
      <c r="I651" s="36"/>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137"/>
      <c r="BK651" s="143"/>
      <c r="BL651" s="143"/>
      <c r="BM651" s="143"/>
      <c r="BN651" s="143"/>
      <c r="BO651" s="143"/>
      <c r="BP651" s="143"/>
      <c r="BQ651" s="143"/>
      <c r="BR651" s="143"/>
      <c r="BS651" s="143"/>
      <c r="BT651" s="143"/>
      <c r="BU651" s="143"/>
      <c r="BV651" s="143"/>
      <c r="BW651" s="143"/>
      <c r="BX651" s="143"/>
      <c r="BY651" s="143"/>
      <c r="BZ651" s="143"/>
      <c r="CA651" s="143"/>
      <c r="CB651" s="143"/>
      <c r="CC651" s="143"/>
      <c r="CD651" s="143"/>
    </row>
    <row r="652" spans="1:82" ht="16.5" customHeight="1" x14ac:dyDescent="0.15">
      <c r="A652" s="35"/>
      <c r="B652" s="35"/>
      <c r="C652" s="35"/>
      <c r="D652" s="35"/>
      <c r="E652" s="35"/>
      <c r="F652" s="35"/>
      <c r="G652" s="35"/>
      <c r="H652" s="34"/>
      <c r="I652" s="36"/>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137"/>
      <c r="BK652" s="143"/>
      <c r="BL652" s="143"/>
      <c r="BM652" s="143"/>
      <c r="BN652" s="143"/>
      <c r="BO652" s="143"/>
      <c r="BP652" s="143"/>
      <c r="BQ652" s="143"/>
      <c r="BR652" s="143"/>
      <c r="BS652" s="143"/>
      <c r="BT652" s="143"/>
      <c r="BU652" s="143"/>
      <c r="BV652" s="143"/>
      <c r="BW652" s="143"/>
      <c r="BX652" s="143"/>
      <c r="BY652" s="143"/>
      <c r="BZ652" s="143"/>
      <c r="CA652" s="143"/>
      <c r="CB652" s="143"/>
      <c r="CC652" s="143"/>
      <c r="CD652" s="143"/>
    </row>
    <row r="653" spans="1:82" ht="16.5" customHeight="1" x14ac:dyDescent="0.15">
      <c r="A653" s="35"/>
      <c r="B653" s="35"/>
      <c r="C653" s="35"/>
      <c r="D653" s="35"/>
      <c r="E653" s="35"/>
      <c r="F653" s="35"/>
      <c r="G653" s="35"/>
      <c r="H653" s="34"/>
      <c r="I653" s="36"/>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137"/>
      <c r="BK653" s="143"/>
      <c r="BL653" s="143"/>
      <c r="BM653" s="143"/>
      <c r="BN653" s="143"/>
      <c r="BO653" s="143"/>
      <c r="BP653" s="143"/>
      <c r="BQ653" s="143"/>
      <c r="BR653" s="143"/>
      <c r="BS653" s="143"/>
      <c r="BT653" s="143"/>
      <c r="BU653" s="143"/>
      <c r="BV653" s="143"/>
      <c r="BW653" s="143"/>
      <c r="BX653" s="143"/>
      <c r="BY653" s="143"/>
      <c r="BZ653" s="143"/>
      <c r="CA653" s="143"/>
      <c r="CB653" s="143"/>
      <c r="CC653" s="143"/>
      <c r="CD653" s="143"/>
    </row>
    <row r="654" spans="1:82" ht="16.5" customHeight="1" x14ac:dyDescent="0.15">
      <c r="A654" s="35"/>
      <c r="B654" s="35"/>
      <c r="C654" s="35"/>
      <c r="D654" s="35"/>
      <c r="E654" s="35"/>
      <c r="F654" s="35"/>
      <c r="G654" s="35"/>
      <c r="H654" s="34"/>
      <c r="I654" s="36"/>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137"/>
      <c r="BK654" s="143"/>
      <c r="BL654" s="143"/>
      <c r="BM654" s="143"/>
      <c r="BN654" s="143"/>
      <c r="BO654" s="143"/>
      <c r="BP654" s="143"/>
      <c r="BQ654" s="143"/>
      <c r="BR654" s="143"/>
      <c r="BS654" s="143"/>
      <c r="BT654" s="143"/>
      <c r="BU654" s="143"/>
      <c r="BV654" s="143"/>
      <c r="BW654" s="143"/>
      <c r="BX654" s="143"/>
      <c r="BY654" s="143"/>
      <c r="BZ654" s="143"/>
      <c r="CA654" s="143"/>
      <c r="CB654" s="143"/>
      <c r="CC654" s="143"/>
      <c r="CD654" s="143"/>
    </row>
    <row r="655" spans="1:82" ht="16.5" customHeight="1" x14ac:dyDescent="0.15">
      <c r="A655" s="35"/>
      <c r="B655" s="35"/>
      <c r="C655" s="35"/>
      <c r="D655" s="35"/>
      <c r="E655" s="35"/>
      <c r="F655" s="35"/>
      <c r="G655" s="35"/>
      <c r="H655" s="34"/>
      <c r="I655" s="36"/>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137"/>
      <c r="BK655" s="143"/>
      <c r="BL655" s="143"/>
      <c r="BM655" s="143"/>
      <c r="BN655" s="143"/>
      <c r="BO655" s="143"/>
      <c r="BP655" s="143"/>
      <c r="BQ655" s="143"/>
      <c r="BR655" s="143"/>
      <c r="BS655" s="143"/>
      <c r="BT655" s="143"/>
      <c r="BU655" s="143"/>
      <c r="BV655" s="143"/>
      <c r="BW655" s="143"/>
      <c r="BX655" s="143"/>
      <c r="BY655" s="143"/>
      <c r="BZ655" s="143"/>
      <c r="CA655" s="143"/>
      <c r="CB655" s="143"/>
      <c r="CC655" s="143"/>
      <c r="CD655" s="143"/>
    </row>
    <row r="656" spans="1:82" ht="16.5" customHeight="1" x14ac:dyDescent="0.15">
      <c r="A656" s="35"/>
      <c r="B656" s="35"/>
      <c r="C656" s="35"/>
      <c r="D656" s="35"/>
      <c r="E656" s="35"/>
      <c r="F656" s="35"/>
      <c r="G656" s="35"/>
      <c r="H656" s="34"/>
      <c r="I656" s="36"/>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137"/>
      <c r="BK656" s="143"/>
      <c r="BL656" s="143"/>
      <c r="BM656" s="143"/>
      <c r="BN656" s="143"/>
      <c r="BO656" s="143"/>
      <c r="BP656" s="143"/>
      <c r="BQ656" s="143"/>
      <c r="BR656" s="143"/>
      <c r="BS656" s="143"/>
      <c r="BT656" s="143"/>
      <c r="BU656" s="143"/>
      <c r="BV656" s="143"/>
      <c r="BW656" s="143"/>
      <c r="BX656" s="143"/>
      <c r="BY656" s="143"/>
      <c r="BZ656" s="143"/>
      <c r="CA656" s="143"/>
      <c r="CB656" s="143"/>
      <c r="CC656" s="143"/>
      <c r="CD656" s="143"/>
    </row>
    <row r="657" spans="1:82" ht="16.5" customHeight="1" x14ac:dyDescent="0.15">
      <c r="A657" s="35"/>
      <c r="B657" s="35"/>
      <c r="C657" s="35"/>
      <c r="D657" s="35"/>
      <c r="E657" s="35"/>
      <c r="F657" s="35"/>
      <c r="G657" s="35"/>
      <c r="H657" s="34"/>
      <c r="I657" s="36"/>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137"/>
      <c r="BK657" s="143"/>
      <c r="BL657" s="143"/>
      <c r="BM657" s="143"/>
      <c r="BN657" s="143"/>
      <c r="BO657" s="143"/>
      <c r="BP657" s="143"/>
      <c r="BQ657" s="143"/>
      <c r="BR657" s="143"/>
      <c r="BS657" s="143"/>
      <c r="BT657" s="143"/>
      <c r="BU657" s="143"/>
      <c r="BV657" s="143"/>
      <c r="BW657" s="143"/>
      <c r="BX657" s="143"/>
      <c r="BY657" s="143"/>
      <c r="BZ657" s="143"/>
      <c r="CA657" s="143"/>
      <c r="CB657" s="143"/>
      <c r="CC657" s="143"/>
      <c r="CD657" s="143"/>
    </row>
    <row r="658" spans="1:82" ht="16.5" customHeight="1" x14ac:dyDescent="0.15">
      <c r="A658" s="35"/>
      <c r="B658" s="35"/>
      <c r="C658" s="35"/>
      <c r="D658" s="35"/>
      <c r="E658" s="35"/>
      <c r="F658" s="35"/>
      <c r="G658" s="35"/>
      <c r="H658" s="34"/>
      <c r="I658" s="36"/>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137"/>
      <c r="BK658" s="143"/>
      <c r="BL658" s="143"/>
      <c r="BM658" s="143"/>
      <c r="BN658" s="143"/>
      <c r="BO658" s="143"/>
      <c r="BP658" s="143"/>
      <c r="BQ658" s="143"/>
      <c r="BR658" s="143"/>
      <c r="BS658" s="143"/>
      <c r="BT658" s="143"/>
      <c r="BU658" s="143"/>
      <c r="BV658" s="143"/>
      <c r="BW658" s="143"/>
      <c r="BX658" s="143"/>
      <c r="BY658" s="143"/>
      <c r="BZ658" s="143"/>
      <c r="CA658" s="143"/>
      <c r="CB658" s="143"/>
      <c r="CC658" s="143"/>
      <c r="CD658" s="143"/>
    </row>
    <row r="659" spans="1:82" ht="16.5" customHeight="1" x14ac:dyDescent="0.15">
      <c r="A659" s="35"/>
      <c r="B659" s="35"/>
      <c r="C659" s="35"/>
      <c r="D659" s="35"/>
      <c r="E659" s="35"/>
      <c r="F659" s="35"/>
      <c r="G659" s="35"/>
      <c r="H659" s="34"/>
      <c r="I659" s="36"/>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137"/>
      <c r="BK659" s="143"/>
      <c r="BL659" s="143"/>
      <c r="BM659" s="143"/>
      <c r="BN659" s="143"/>
      <c r="BO659" s="143"/>
      <c r="BP659" s="143"/>
      <c r="BQ659" s="143"/>
      <c r="BR659" s="143"/>
      <c r="BS659" s="143"/>
      <c r="BT659" s="143"/>
      <c r="BU659" s="143"/>
      <c r="BV659" s="143"/>
      <c r="BW659" s="143"/>
      <c r="BX659" s="143"/>
      <c r="BY659" s="143"/>
      <c r="BZ659" s="143"/>
      <c r="CA659" s="143"/>
      <c r="CB659" s="143"/>
      <c r="CC659" s="143"/>
      <c r="CD659" s="143"/>
    </row>
    <row r="660" spans="1:82" ht="16.5" customHeight="1" x14ac:dyDescent="0.15">
      <c r="A660" s="35"/>
      <c r="B660" s="35"/>
      <c r="C660" s="35"/>
      <c r="D660" s="35"/>
      <c r="E660" s="35"/>
      <c r="F660" s="35"/>
      <c r="G660" s="35"/>
      <c r="H660" s="34"/>
      <c r="I660" s="36"/>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137"/>
      <c r="BK660" s="143"/>
      <c r="BL660" s="143"/>
      <c r="BM660" s="143"/>
      <c r="BN660" s="143"/>
      <c r="BO660" s="143"/>
      <c r="BP660" s="143"/>
      <c r="BQ660" s="143"/>
      <c r="BR660" s="143"/>
      <c r="BS660" s="143"/>
      <c r="BT660" s="143"/>
      <c r="BU660" s="143"/>
      <c r="BV660" s="143"/>
      <c r="BW660" s="143"/>
      <c r="BX660" s="143"/>
      <c r="BY660" s="143"/>
      <c r="BZ660" s="143"/>
      <c r="CA660" s="143"/>
      <c r="CB660" s="143"/>
      <c r="CC660" s="143"/>
      <c r="CD660" s="143"/>
    </row>
    <row r="661" spans="1:82" ht="16.5" customHeight="1" x14ac:dyDescent="0.15">
      <c r="A661" s="35"/>
      <c r="B661" s="35"/>
      <c r="C661" s="35"/>
      <c r="D661" s="35"/>
      <c r="E661" s="35"/>
      <c r="F661" s="35"/>
      <c r="G661" s="35"/>
      <c r="H661" s="34"/>
      <c r="I661" s="36"/>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137"/>
      <c r="BK661" s="143"/>
      <c r="BL661" s="143"/>
      <c r="BM661" s="143"/>
      <c r="BN661" s="143"/>
      <c r="BO661" s="143"/>
      <c r="BP661" s="143"/>
      <c r="BQ661" s="143"/>
      <c r="BR661" s="143"/>
      <c r="BS661" s="143"/>
      <c r="BT661" s="143"/>
      <c r="BU661" s="143"/>
      <c r="BV661" s="143"/>
      <c r="BW661" s="143"/>
      <c r="BX661" s="143"/>
      <c r="BY661" s="143"/>
      <c r="BZ661" s="143"/>
      <c r="CA661" s="143"/>
      <c r="CB661" s="143"/>
      <c r="CC661" s="143"/>
      <c r="CD661" s="143"/>
    </row>
    <row r="662" spans="1:82" ht="16.5" customHeight="1" x14ac:dyDescent="0.15">
      <c r="A662" s="35"/>
      <c r="B662" s="35"/>
      <c r="C662" s="35"/>
      <c r="D662" s="35"/>
      <c r="E662" s="35"/>
      <c r="F662" s="35"/>
      <c r="G662" s="35"/>
      <c r="H662" s="34"/>
      <c r="I662" s="36"/>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137"/>
      <c r="BK662" s="143"/>
      <c r="BL662" s="143"/>
      <c r="BM662" s="143"/>
      <c r="BN662" s="143"/>
      <c r="BO662" s="143"/>
      <c r="BP662" s="143"/>
      <c r="BQ662" s="143"/>
      <c r="BR662" s="143"/>
      <c r="BS662" s="143"/>
      <c r="BT662" s="143"/>
      <c r="BU662" s="143"/>
      <c r="BV662" s="143"/>
      <c r="BW662" s="143"/>
      <c r="BX662" s="143"/>
      <c r="BY662" s="143"/>
      <c r="BZ662" s="143"/>
      <c r="CA662" s="143"/>
      <c r="CB662" s="143"/>
      <c r="CC662" s="143"/>
      <c r="CD662" s="143"/>
    </row>
    <row r="663" spans="1:82" ht="16.5" customHeight="1" x14ac:dyDescent="0.15">
      <c r="A663" s="35"/>
      <c r="B663" s="35"/>
      <c r="C663" s="35"/>
      <c r="D663" s="35"/>
      <c r="E663" s="35"/>
      <c r="F663" s="35"/>
      <c r="G663" s="35"/>
      <c r="H663" s="34"/>
      <c r="I663" s="36"/>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137"/>
      <c r="BK663" s="143"/>
      <c r="BL663" s="143"/>
      <c r="BM663" s="143"/>
      <c r="BN663" s="143"/>
      <c r="BO663" s="143"/>
      <c r="BP663" s="143"/>
      <c r="BQ663" s="143"/>
      <c r="BR663" s="143"/>
      <c r="BS663" s="143"/>
      <c r="BT663" s="143"/>
      <c r="BU663" s="143"/>
      <c r="BV663" s="143"/>
      <c r="BW663" s="143"/>
      <c r="BX663" s="143"/>
      <c r="BY663" s="143"/>
      <c r="BZ663" s="143"/>
      <c r="CA663" s="143"/>
      <c r="CB663" s="143"/>
      <c r="CC663" s="143"/>
      <c r="CD663" s="143"/>
    </row>
    <row r="664" spans="1:82" ht="16.5" customHeight="1" x14ac:dyDescent="0.15">
      <c r="A664" s="35"/>
      <c r="B664" s="35"/>
      <c r="C664" s="35"/>
      <c r="D664" s="35"/>
      <c r="E664" s="35"/>
      <c r="F664" s="35"/>
      <c r="G664" s="35"/>
      <c r="H664" s="34"/>
      <c r="I664" s="36"/>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137"/>
      <c r="BK664" s="143"/>
      <c r="BL664" s="143"/>
      <c r="BM664" s="143"/>
      <c r="BN664" s="143"/>
      <c r="BO664" s="143"/>
      <c r="BP664" s="143"/>
      <c r="BQ664" s="143"/>
      <c r="BR664" s="143"/>
      <c r="BS664" s="143"/>
      <c r="BT664" s="143"/>
      <c r="BU664" s="143"/>
      <c r="BV664" s="143"/>
      <c r="BW664" s="143"/>
      <c r="BX664" s="143"/>
      <c r="BY664" s="143"/>
      <c r="BZ664" s="143"/>
      <c r="CA664" s="143"/>
      <c r="CB664" s="143"/>
      <c r="CC664" s="143"/>
      <c r="CD664" s="143"/>
    </row>
    <row r="665" spans="1:82" ht="16.5" customHeight="1" x14ac:dyDescent="0.15">
      <c r="A665" s="35"/>
      <c r="B665" s="35"/>
      <c r="C665" s="35"/>
      <c r="D665" s="35"/>
      <c r="E665" s="35"/>
      <c r="F665" s="35"/>
      <c r="G665" s="35"/>
      <c r="H665" s="34"/>
      <c r="I665" s="36"/>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137"/>
      <c r="BK665" s="143"/>
      <c r="BL665" s="143"/>
      <c r="BM665" s="143"/>
      <c r="BN665" s="143"/>
      <c r="BO665" s="143"/>
      <c r="BP665" s="143"/>
      <c r="BQ665" s="143"/>
      <c r="BR665" s="143"/>
      <c r="BS665" s="143"/>
      <c r="BT665" s="143"/>
      <c r="BU665" s="143"/>
      <c r="BV665" s="143"/>
      <c r="BW665" s="143"/>
      <c r="BX665" s="143"/>
      <c r="BY665" s="143"/>
      <c r="BZ665" s="143"/>
      <c r="CA665" s="143"/>
      <c r="CB665" s="143"/>
      <c r="CC665" s="143"/>
      <c r="CD665" s="143"/>
    </row>
    <row r="666" spans="1:82" ht="16.5" customHeight="1" x14ac:dyDescent="0.15">
      <c r="A666" s="35"/>
      <c r="B666" s="35"/>
      <c r="C666" s="35"/>
      <c r="D666" s="35"/>
      <c r="E666" s="35"/>
      <c r="F666" s="35"/>
      <c r="G666" s="35"/>
      <c r="H666" s="34"/>
      <c r="I666" s="36"/>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137"/>
      <c r="BK666" s="143"/>
      <c r="BL666" s="143"/>
      <c r="BM666" s="143"/>
      <c r="BN666" s="143"/>
      <c r="BO666" s="143"/>
      <c r="BP666" s="143"/>
      <c r="BQ666" s="143"/>
      <c r="BR666" s="143"/>
      <c r="BS666" s="143"/>
      <c r="BT666" s="143"/>
      <c r="BU666" s="143"/>
      <c r="BV666" s="143"/>
      <c r="BW666" s="143"/>
      <c r="BX666" s="143"/>
      <c r="BY666" s="143"/>
      <c r="BZ666" s="143"/>
      <c r="CA666" s="143"/>
      <c r="CB666" s="143"/>
      <c r="CC666" s="143"/>
      <c r="CD666" s="143"/>
    </row>
    <row r="667" spans="1:82" ht="16.5" customHeight="1" x14ac:dyDescent="0.15">
      <c r="A667" s="35"/>
      <c r="B667" s="35"/>
      <c r="C667" s="35"/>
      <c r="D667" s="35"/>
      <c r="E667" s="35"/>
      <c r="F667" s="35"/>
      <c r="G667" s="35"/>
      <c r="H667" s="34"/>
      <c r="I667" s="36"/>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137"/>
      <c r="BK667" s="143"/>
      <c r="BL667" s="143"/>
      <c r="BM667" s="143"/>
      <c r="BN667" s="143"/>
      <c r="BO667" s="143"/>
      <c r="BP667" s="143"/>
      <c r="BQ667" s="143"/>
      <c r="BR667" s="143"/>
      <c r="BS667" s="143"/>
      <c r="BT667" s="143"/>
      <c r="BU667" s="143"/>
      <c r="BV667" s="143"/>
      <c r="BW667" s="143"/>
      <c r="BX667" s="143"/>
      <c r="BY667" s="143"/>
      <c r="BZ667" s="143"/>
      <c r="CA667" s="143"/>
      <c r="CB667" s="143"/>
      <c r="CC667" s="143"/>
      <c r="CD667" s="143"/>
    </row>
    <row r="668" spans="1:82" ht="16.5" customHeight="1" x14ac:dyDescent="0.15">
      <c r="A668" s="35"/>
      <c r="B668" s="35"/>
      <c r="C668" s="35"/>
      <c r="D668" s="35"/>
      <c r="E668" s="35"/>
      <c r="F668" s="35"/>
      <c r="G668" s="35"/>
      <c r="H668" s="34"/>
      <c r="I668" s="36"/>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137"/>
      <c r="BK668" s="143"/>
      <c r="BL668" s="143"/>
      <c r="BM668" s="143"/>
      <c r="BN668" s="143"/>
      <c r="BO668" s="143"/>
      <c r="BP668" s="143"/>
      <c r="BQ668" s="143"/>
      <c r="BR668" s="143"/>
      <c r="BS668" s="143"/>
      <c r="BT668" s="143"/>
      <c r="BU668" s="143"/>
      <c r="BV668" s="143"/>
      <c r="BW668" s="143"/>
      <c r="BX668" s="143"/>
      <c r="BY668" s="143"/>
      <c r="BZ668" s="143"/>
      <c r="CA668" s="143"/>
      <c r="CB668" s="143"/>
      <c r="CC668" s="143"/>
      <c r="CD668" s="143"/>
    </row>
    <row r="669" spans="1:82" ht="16.5" customHeight="1" x14ac:dyDescent="0.15">
      <c r="A669" s="35"/>
      <c r="B669" s="35"/>
      <c r="C669" s="35"/>
      <c r="D669" s="35"/>
      <c r="E669" s="35"/>
      <c r="F669" s="35"/>
      <c r="G669" s="35"/>
      <c r="H669" s="34"/>
      <c r="I669" s="36"/>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137"/>
      <c r="BK669" s="143"/>
      <c r="BL669" s="143"/>
      <c r="BM669" s="143"/>
      <c r="BN669" s="143"/>
      <c r="BO669" s="143"/>
      <c r="BP669" s="143"/>
      <c r="BQ669" s="143"/>
      <c r="BR669" s="143"/>
      <c r="BS669" s="143"/>
      <c r="BT669" s="143"/>
      <c r="BU669" s="143"/>
      <c r="BV669" s="143"/>
      <c r="BW669" s="143"/>
      <c r="BX669" s="143"/>
      <c r="BY669" s="143"/>
      <c r="BZ669" s="143"/>
      <c r="CA669" s="143"/>
      <c r="CB669" s="143"/>
      <c r="CC669" s="143"/>
      <c r="CD669" s="143"/>
    </row>
    <row r="670" spans="1:82" ht="16.5" customHeight="1" x14ac:dyDescent="0.15">
      <c r="A670" s="35"/>
      <c r="B670" s="35"/>
      <c r="C670" s="35"/>
      <c r="D670" s="35"/>
      <c r="E670" s="35"/>
      <c r="F670" s="35"/>
      <c r="G670" s="35"/>
      <c r="H670" s="34"/>
      <c r="I670" s="36"/>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137"/>
      <c r="BK670" s="143"/>
      <c r="BL670" s="143"/>
      <c r="BM670" s="143"/>
      <c r="BN670" s="143"/>
      <c r="BO670" s="143"/>
      <c r="BP670" s="143"/>
      <c r="BQ670" s="143"/>
      <c r="BR670" s="143"/>
      <c r="BS670" s="143"/>
      <c r="BT670" s="143"/>
      <c r="BU670" s="143"/>
      <c r="BV670" s="143"/>
      <c r="BW670" s="143"/>
      <c r="BX670" s="143"/>
      <c r="BY670" s="143"/>
      <c r="BZ670" s="143"/>
      <c r="CA670" s="143"/>
      <c r="CB670" s="143"/>
      <c r="CC670" s="143"/>
      <c r="CD670" s="143"/>
    </row>
  </sheetData>
  <mergeCells count="205">
    <mergeCell ref="M33:M35"/>
    <mergeCell ref="N33:N35"/>
    <mergeCell ref="O33:O35"/>
    <mergeCell ref="AI33:AI35"/>
    <mergeCell ref="AJ33:AJ35"/>
    <mergeCell ref="AK33:AK35"/>
    <mergeCell ref="A31:A32"/>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AI31:AI32"/>
    <mergeCell ref="AJ31:AJ32"/>
    <mergeCell ref="AK31:AK32"/>
    <mergeCell ref="M16:M18"/>
    <mergeCell ref="N16:N18"/>
    <mergeCell ref="O16:O18"/>
    <mergeCell ref="A22:A24"/>
    <mergeCell ref="B22:B24"/>
    <mergeCell ref="C22:C24"/>
    <mergeCell ref="G16:G18"/>
    <mergeCell ref="H16:H18"/>
    <mergeCell ref="I16:I18"/>
    <mergeCell ref="J16:J18"/>
    <mergeCell ref="K16:K18"/>
    <mergeCell ref="L16:L18"/>
    <mergeCell ref="G33:G35"/>
    <mergeCell ref="H33:H35"/>
    <mergeCell ref="I33:I35"/>
    <mergeCell ref="J33:J35"/>
    <mergeCell ref="K33:K35"/>
    <mergeCell ref="L33:L35"/>
    <mergeCell ref="D16:D18"/>
    <mergeCell ref="E16:E18"/>
    <mergeCell ref="F16:F18"/>
    <mergeCell ref="A33:A35"/>
    <mergeCell ref="B33:B35"/>
    <mergeCell ref="C33:C35"/>
    <mergeCell ref="D33:D35"/>
    <mergeCell ref="E33:E35"/>
    <mergeCell ref="F33:F35"/>
    <mergeCell ref="BF5:BF6"/>
    <mergeCell ref="AJ7:AJ11"/>
    <mergeCell ref="AK7:AK11"/>
    <mergeCell ref="I7:I11"/>
    <mergeCell ref="K7:K11"/>
    <mergeCell ref="L7:L11"/>
    <mergeCell ref="M7:M11"/>
    <mergeCell ref="N7:N11"/>
    <mergeCell ref="O7:O11"/>
    <mergeCell ref="AI5:AI6"/>
    <mergeCell ref="BC5:BC6"/>
    <mergeCell ref="AJ5:AJ6"/>
    <mergeCell ref="AK5:AK6"/>
    <mergeCell ref="AL5:AL6"/>
    <mergeCell ref="P5:AH5"/>
    <mergeCell ref="AM5:AO5"/>
    <mergeCell ref="BD5:BD6"/>
    <mergeCell ref="BE5:BE6"/>
    <mergeCell ref="A1:BJ2"/>
    <mergeCell ref="BI5:BI6"/>
    <mergeCell ref="BJ5:BJ6"/>
    <mergeCell ref="A4:K4"/>
    <mergeCell ref="L4:AK4"/>
    <mergeCell ref="AL4:AW4"/>
    <mergeCell ref="AX4:BD4"/>
    <mergeCell ref="BE4:BJ4"/>
    <mergeCell ref="A5:A6"/>
    <mergeCell ref="AP5:AP6"/>
    <mergeCell ref="AQ5:AQ6"/>
    <mergeCell ref="AR5:AW5"/>
    <mergeCell ref="AX5:AX6"/>
    <mergeCell ref="AY5:AY6"/>
    <mergeCell ref="AZ5:AZ6"/>
    <mergeCell ref="BA5:BA6"/>
    <mergeCell ref="BG5:BG6"/>
    <mergeCell ref="BH5:BH6"/>
    <mergeCell ref="K5:K6"/>
    <mergeCell ref="L5:L6"/>
    <mergeCell ref="M5:M6"/>
    <mergeCell ref="BB5:BB6"/>
    <mergeCell ref="N5:N6"/>
    <mergeCell ref="O5:O6"/>
    <mergeCell ref="A12:A13"/>
    <mergeCell ref="B12:B13"/>
    <mergeCell ref="C12:C13"/>
    <mergeCell ref="D12:D13"/>
    <mergeCell ref="E12:E13"/>
    <mergeCell ref="AI7:AI11"/>
    <mergeCell ref="B5:B6"/>
    <mergeCell ref="J5:J6"/>
    <mergeCell ref="J7:J11"/>
    <mergeCell ref="E7:E11"/>
    <mergeCell ref="A7:A11"/>
    <mergeCell ref="C7:C11"/>
    <mergeCell ref="D7:D11"/>
    <mergeCell ref="F7:F11"/>
    <mergeCell ref="G7:G11"/>
    <mergeCell ref="H7:H11"/>
    <mergeCell ref="C5:C6"/>
    <mergeCell ref="F5:F6"/>
    <mergeCell ref="G5:G6"/>
    <mergeCell ref="H5:H6"/>
    <mergeCell ref="I5:I6"/>
    <mergeCell ref="B7:B11"/>
    <mergeCell ref="E5:E6"/>
    <mergeCell ref="D5:D6"/>
    <mergeCell ref="AI12:AI13"/>
    <mergeCell ref="AJ12:AJ13"/>
    <mergeCell ref="AK12:AK13"/>
    <mergeCell ref="K12:K13"/>
    <mergeCell ref="L12:L13"/>
    <mergeCell ref="M12:M13"/>
    <mergeCell ref="N12:N13"/>
    <mergeCell ref="O12:O13"/>
    <mergeCell ref="F12:F13"/>
    <mergeCell ref="G12:G13"/>
    <mergeCell ref="H12:H13"/>
    <mergeCell ref="I12:I13"/>
    <mergeCell ref="J12:J13"/>
    <mergeCell ref="AI16:AI18"/>
    <mergeCell ref="AJ16:AJ18"/>
    <mergeCell ref="AK16:AK18"/>
    <mergeCell ref="A19:A21"/>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AI19:AI21"/>
    <mergeCell ref="AJ19:AJ21"/>
    <mergeCell ref="AK19:AK21"/>
    <mergeCell ref="A16:A18"/>
    <mergeCell ref="B16:B18"/>
    <mergeCell ref="C16:C18"/>
    <mergeCell ref="D22:D24"/>
    <mergeCell ref="E22:E24"/>
    <mergeCell ref="F22:F24"/>
    <mergeCell ref="G22:G24"/>
    <mergeCell ref="H22:H24"/>
    <mergeCell ref="I22:I24"/>
    <mergeCell ref="J22:J24"/>
    <mergeCell ref="K22:K24"/>
    <mergeCell ref="L22:L24"/>
    <mergeCell ref="M22:M24"/>
    <mergeCell ref="N22:N24"/>
    <mergeCell ref="O22:O24"/>
    <mergeCell ref="AI22:AI24"/>
    <mergeCell ref="AJ22:AJ24"/>
    <mergeCell ref="AK22:AK24"/>
    <mergeCell ref="A25:A27"/>
    <mergeCell ref="B25:B27"/>
    <mergeCell ref="C25:C27"/>
    <mergeCell ref="D25:D27"/>
    <mergeCell ref="E25:E27"/>
    <mergeCell ref="F25:F27"/>
    <mergeCell ref="G25:G27"/>
    <mergeCell ref="H25:H27"/>
    <mergeCell ref="I25:I27"/>
    <mergeCell ref="J25:J27"/>
    <mergeCell ref="K25:K27"/>
    <mergeCell ref="L25:L27"/>
    <mergeCell ref="M25:M27"/>
    <mergeCell ref="N25:N27"/>
    <mergeCell ref="O25:O27"/>
    <mergeCell ref="AI25:AI27"/>
    <mergeCell ref="AJ25:AJ27"/>
    <mergeCell ref="AK25:AK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AI28:AI29"/>
    <mergeCell ref="AJ28:AJ29"/>
    <mergeCell ref="AK28:AK29"/>
  </mergeCells>
  <phoneticPr fontId="52" type="noConversion"/>
  <conditionalFormatting sqref="L7 L12 AY30:AY35">
    <cfRule type="cellIs" dxfId="56" priority="450" operator="equal">
      <formula>"Muy Alta"</formula>
    </cfRule>
    <cfRule type="cellIs" dxfId="55" priority="451" operator="equal">
      <formula>"Alta"</formula>
    </cfRule>
    <cfRule type="cellIs" dxfId="54" priority="452" operator="equal">
      <formula>"Media"</formula>
    </cfRule>
    <cfRule type="cellIs" dxfId="53" priority="453" operator="equal">
      <formula>"Baja"</formula>
    </cfRule>
    <cfRule type="cellIs" dxfId="52" priority="454" operator="equal">
      <formula>"Muy Baja"</formula>
    </cfRule>
  </conditionalFormatting>
  <conditionalFormatting sqref="L14:L16 L19 L22 L25">
    <cfRule type="cellIs" dxfId="51" priority="32" operator="equal">
      <formula>"Muy Alta"</formula>
    </cfRule>
    <cfRule type="cellIs" dxfId="50" priority="33" operator="equal">
      <formula>"Alta"</formula>
    </cfRule>
    <cfRule type="cellIs" dxfId="49" priority="34" operator="equal">
      <formula>"Media"</formula>
    </cfRule>
    <cfRule type="cellIs" dxfId="48" priority="35" operator="equal">
      <formula>"Baja"</formula>
    </cfRule>
    <cfRule type="cellIs" dxfId="47" priority="36" operator="equal">
      <formula>"Muy Baja"</formula>
    </cfRule>
  </conditionalFormatting>
  <conditionalFormatting sqref="O7:AH35">
    <cfRule type="containsText" dxfId="46" priority="16" operator="containsText" text="❌">
      <formula>NOT(ISERROR(SEARCH(("❌"),(O7))))</formula>
    </cfRule>
  </conditionalFormatting>
  <conditionalFormatting sqref="AI7 AI12 BA30:BA35">
    <cfRule type="cellIs" dxfId="45" priority="455" operator="equal">
      <formula>"Catastrófico"</formula>
    </cfRule>
    <cfRule type="cellIs" dxfId="44" priority="456" operator="equal">
      <formula>"Mayor"</formula>
    </cfRule>
    <cfRule type="cellIs" dxfId="43" priority="457" operator="equal">
      <formula>"Moderado"</formula>
    </cfRule>
    <cfRule type="cellIs" dxfId="42" priority="458" operator="equal">
      <formula>"Menor"</formula>
    </cfRule>
    <cfRule type="cellIs" dxfId="41" priority="459" operator="equal">
      <formula>"Leve"</formula>
    </cfRule>
  </conditionalFormatting>
  <conditionalFormatting sqref="AI14:AI16 AI19 AI22 AI25">
    <cfRule type="cellIs" dxfId="40" priority="37" operator="equal">
      <formula>"Catastrófico"</formula>
    </cfRule>
    <cfRule type="cellIs" dxfId="39" priority="38" operator="equal">
      <formula>"Mayor"</formula>
    </cfRule>
    <cfRule type="cellIs" dxfId="38" priority="39" operator="equal">
      <formula>"Moderado"</formula>
    </cfRule>
    <cfRule type="cellIs" dxfId="37" priority="40" operator="equal">
      <formula>"Menor"</formula>
    </cfRule>
    <cfRule type="cellIs" dxfId="36" priority="41" operator="equal">
      <formula>"Leve"</formula>
    </cfRule>
  </conditionalFormatting>
  <conditionalFormatting sqref="AK7 AK12 BC30:BC35">
    <cfRule type="cellIs" dxfId="35" priority="460" operator="equal">
      <formula>"Extremo"</formula>
    </cfRule>
    <cfRule type="cellIs" dxfId="34" priority="461" operator="equal">
      <formula>"Alto"</formula>
    </cfRule>
    <cfRule type="cellIs" dxfId="33" priority="462" operator="equal">
      <formula>"Moderado"</formula>
    </cfRule>
    <cfRule type="cellIs" dxfId="32" priority="463" operator="equal">
      <formula>"Bajo"</formula>
    </cfRule>
  </conditionalFormatting>
  <conditionalFormatting sqref="AK14:AK16 AK19 AK22 AK25">
    <cfRule type="cellIs" dxfId="31" priority="42" operator="equal">
      <formula>"Extremo"</formula>
    </cfRule>
    <cfRule type="cellIs" dxfId="30" priority="43" operator="equal">
      <formula>"Alto"</formula>
    </cfRule>
    <cfRule type="cellIs" dxfId="29" priority="44" operator="equal">
      <formula>"Moderado"</formula>
    </cfRule>
    <cfRule type="cellIs" dxfId="28" priority="45" operator="equal">
      <formula>"Bajo"</formula>
    </cfRule>
  </conditionalFormatting>
  <conditionalFormatting sqref="AY7:AY29 L28">
    <cfRule type="cellIs" dxfId="27" priority="17" operator="equal">
      <formula>"Muy Alta"</formula>
    </cfRule>
    <cfRule type="cellIs" dxfId="26" priority="18" operator="equal">
      <formula>"Alta"</formula>
    </cfRule>
    <cfRule type="cellIs" dxfId="25" priority="19" operator="equal">
      <formula>"Media"</formula>
    </cfRule>
    <cfRule type="cellIs" dxfId="24" priority="20" operator="equal">
      <formula>"Baja"</formula>
    </cfRule>
    <cfRule type="cellIs" dxfId="23" priority="21" operator="equal">
      <formula>"Muy Baja"</formula>
    </cfRule>
  </conditionalFormatting>
  <conditionalFormatting sqref="BA7:BA29 AI28">
    <cfRule type="cellIs" dxfId="22" priority="22" operator="equal">
      <formula>"Catastrófico"</formula>
    </cfRule>
    <cfRule type="cellIs" dxfId="21" priority="23" operator="equal">
      <formula>"Mayor"</formula>
    </cfRule>
    <cfRule type="cellIs" dxfId="20" priority="24" operator="equal">
      <formula>"Moderado"</formula>
    </cfRule>
    <cfRule type="cellIs" dxfId="19" priority="25" operator="equal">
      <formula>"Menor"</formula>
    </cfRule>
    <cfRule type="cellIs" dxfId="18" priority="26" operator="equal">
      <formula>"Leve"</formula>
    </cfRule>
  </conditionalFormatting>
  <conditionalFormatting sqref="BC7:BC29 AK28">
    <cfRule type="cellIs" dxfId="17" priority="27" operator="equal">
      <formula>"Extremo"</formula>
    </cfRule>
    <cfRule type="cellIs" dxfId="16" priority="28" operator="equal">
      <formula>"Alto"</formula>
    </cfRule>
    <cfRule type="cellIs" dxfId="15" priority="29" operator="equal">
      <formula>"Moderado"</formula>
    </cfRule>
    <cfRule type="cellIs" dxfId="14" priority="30" operator="equal">
      <formula>"Bajo"</formula>
    </cfRule>
  </conditionalFormatting>
  <conditionalFormatting sqref="L30:L31 L33">
    <cfRule type="cellIs" dxfId="13" priority="2" operator="equal">
      <formula>"Muy Alta"</formula>
    </cfRule>
    <cfRule type="cellIs" dxfId="12" priority="3" operator="equal">
      <formula>"Alta"</formula>
    </cfRule>
    <cfRule type="cellIs" dxfId="11" priority="4" operator="equal">
      <formula>"Media"</formula>
    </cfRule>
    <cfRule type="cellIs" dxfId="10" priority="5" operator="equal">
      <formula>"Baja"</formula>
    </cfRule>
    <cfRule type="cellIs" dxfId="9" priority="6" operator="equal">
      <formula>"Muy Baja"</formula>
    </cfRule>
  </conditionalFormatting>
  <conditionalFormatting sqref="AI30:AI31 AI33">
    <cfRule type="cellIs" dxfId="8" priority="7" operator="equal">
      <formula>"Catastrófico"</formula>
    </cfRule>
    <cfRule type="cellIs" dxfId="7" priority="8" operator="equal">
      <formula>"Mayor"</formula>
    </cfRule>
    <cfRule type="cellIs" dxfId="6" priority="9" operator="equal">
      <formula>"Moderado"</formula>
    </cfRule>
    <cfRule type="cellIs" dxfId="5" priority="10" operator="equal">
      <formula>"Menor"</formula>
    </cfRule>
    <cfRule type="cellIs" dxfId="4" priority="11" operator="equal">
      <formula>"Leve"</formula>
    </cfRule>
  </conditionalFormatting>
  <conditionalFormatting sqref="AK30:AK31 AK33">
    <cfRule type="cellIs" dxfId="3" priority="12" operator="equal">
      <formula>"Extremo"</formula>
    </cfRule>
    <cfRule type="cellIs" dxfId="2" priority="13" operator="equal">
      <formula>"Alto"</formula>
    </cfRule>
    <cfRule type="cellIs" dxfId="1" priority="14" operator="equal">
      <formula>"Moderado"</formula>
    </cfRule>
    <cfRule type="cellIs" dxfId="0" priority="15" operator="equal">
      <formula>"Bajo"</formula>
    </cfRule>
  </conditionalFormatting>
  <dataValidations count="1">
    <dataValidation type="list" allowBlank="1" showInputMessage="1" showErrorMessage="1" sqref="E7:E35" xr:uid="{F6B97FE2-1F67-4B6C-8475-8C75504DDBAE}">
      <formula1>INDIRECT(D7)</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0">
        <x14:dataValidation type="list" allowBlank="1" showErrorMessage="1" xr:uid="{00196F71-1F29-4C06-A876-0C4038C28E5F}">
          <x14:formula1>
            <xm:f>'Tabla Impacto'!$F$210:$F$221</xm:f>
          </x14:formula1>
          <xm:sqref>N7 N12 N14:N15</xm:sqref>
        </x14:dataValidation>
        <x14:dataValidation type="list" allowBlank="1" showErrorMessage="1" xr:uid="{C2C5FE9F-215E-43BE-A69E-AD6D9277C55C}">
          <x14:formula1>
            <xm:f>'Opciones Tratamiento'!$B$9:$B$10</xm:f>
          </x14:formula1>
          <xm:sqref>BJ7:BJ8 BJ10:BJ15</xm:sqref>
        </x14:dataValidation>
        <x14:dataValidation type="list" allowBlank="1" showErrorMessage="1" xr:uid="{049F869D-D887-450A-BC41-B6DB928887F9}">
          <x14:formula1>
            <xm:f>'Tabla Valoración controles'!$D$11:$D$12</xm:f>
          </x14:formula1>
          <xm:sqref>AV7:AV15</xm:sqref>
        </x14:dataValidation>
        <x14:dataValidation type="list" allowBlank="1" showErrorMessage="1" xr:uid="{300F580D-C62E-43C7-826A-F38AE15016B4}">
          <x14:formula1>
            <xm:f>'Opciones Tratamiento'!$B$2:$B$5</xm:f>
          </x14:formula1>
          <xm:sqref>BD7:BD15</xm:sqref>
        </x14:dataValidation>
        <x14:dataValidation type="list" allowBlank="1" showErrorMessage="1" xr:uid="{E0C8ED39-71B4-4047-9D70-A890CFDFF4D5}">
          <x14:formula1>
            <xm:f>'Tabla Valoración controles'!$D$13:$D$14</xm:f>
          </x14:formula1>
          <xm:sqref>AW7:AW15</xm:sqref>
        </x14:dataValidation>
        <x14:dataValidation type="list" allowBlank="1" showErrorMessage="1" xr:uid="{766F8884-A2F5-41A0-9444-46657E946BB4}">
          <x14:formula1>
            <xm:f>'Tabla Valoración controles'!$D$7:$D$8</xm:f>
          </x14:formula1>
          <xm:sqref>AS7:AS15</xm:sqref>
        </x14:dataValidation>
        <x14:dataValidation type="list" allowBlank="1" showErrorMessage="1" xr:uid="{3B53EB85-6381-4C36-91F3-D219B31B5F9D}">
          <x14:formula1>
            <xm:f>'Tabla Valoración controles'!$D$4:$D$6</xm:f>
          </x14:formula1>
          <xm:sqref>AR7:AR15</xm:sqref>
        </x14:dataValidation>
        <x14:dataValidation type="list" allowBlank="1" showInputMessage="1" showErrorMessage="1" xr:uid="{CBD39705-7B52-4CD9-B1F2-3EC640276815}">
          <x14:formula1>
            <xm:f>'Opciones Tratamiento'!$J$2:$J$3</xm:f>
          </x14:formula1>
          <xm:sqref>J7:J15</xm:sqref>
        </x14:dataValidation>
        <x14:dataValidation type="list" allowBlank="1" showInputMessage="1" showErrorMessage="1" xr:uid="{BFDAA0A5-1B94-4214-9289-05415224ABFC}">
          <x14:formula1>
            <xm:f>'Opciones Tratamiento'!$K$2:$K$17</xm:f>
          </x14:formula1>
          <xm:sqref>K7:K15</xm:sqref>
        </x14:dataValidation>
        <x14:dataValidation type="list" allowBlank="1" showInputMessage="1" showErrorMessage="1" xr:uid="{EF3D500F-B189-45BF-B067-C6F729CA5E74}">
          <x14:formula1>
            <xm:f>'Opciones Tratamiento'!$P$2:$P$4</xm:f>
          </x14:formula1>
          <xm:sqref>P7:AH15</xm:sqref>
        </x14:dataValidation>
        <x14:dataValidation type="list" allowBlank="1" showInputMessage="1" showErrorMessage="1" xr:uid="{8F85A27B-6690-4201-97A8-15D9A9D5A458}">
          <x14:formula1>
            <xm:f>'Opciones Tratamiento'!$M$2:$M$37</xm:f>
          </x14:formula1>
          <xm:sqref>AM7:AM15</xm:sqref>
        </x14:dataValidation>
        <x14:dataValidation type="list" allowBlank="1" showInputMessage="1" showErrorMessage="1" xr:uid="{40293EB5-4491-B947-AEB8-95A8DAEC9BC5}">
          <x14:formula1>
            <xm:f>'Opciones Tratamiento'!$H$2:$H$5</xm:f>
          </x14:formula1>
          <xm:sqref>D7:D15</xm:sqref>
        </x14:dataValidation>
        <x14:dataValidation type="list" allowBlank="1" showInputMessage="1" showErrorMessage="1" xr:uid="{3A7693F5-E883-F741-8EF4-217FC8401846}">
          <x14:formula1>
            <xm:f>Hoja1!$A$26:$A$28</xm:f>
          </x14:formula1>
          <xm:sqref>C7:C15</xm:sqref>
        </x14:dataValidation>
        <x14:dataValidation type="list" allowBlank="1" showInputMessage="1" showErrorMessage="1" xr:uid="{7FF4FBEA-06BA-4546-B3ED-92B18BBFBE14}">
          <x14:formula1>
            <xm:f>'Opciones Tratamiento'!$B$13:$B$23</xm:f>
          </x14:formula1>
          <xm:sqref>I7:I15</xm:sqref>
        </x14:dataValidation>
        <x14:dataValidation type="list" allowBlank="1" showErrorMessage="1" xr:uid="{709BDCDF-A96B-4A1F-A3C4-E655D60169D2}">
          <x14:formula1>
            <xm:f>'Tabla Valoración controles'!$D$9:$D$10</xm:f>
          </x14:formula1>
          <xm:sqref>AU7:AU15</xm:sqref>
        </x14:dataValidation>
        <x14:dataValidation type="custom" allowBlank="1" showInputMessage="1" showErrorMessage="1" prompt="Recuerde que las acciones se generan bajo la medida de mitigar el riesgo" xr:uid="{CAD4B520-BFA7-428E-BDD7-D4F633C489D3}">
          <x14:formula1>
            <xm:f>IF(OR(BD7='Opciones Tratamiento'!$B$2,BD7='Opciones Tratamiento'!$B$3,BD7='Opciones Tratamiento'!$B$4),ISBLANK(BD7),ISTEXT(BD7))</xm:f>
          </x14:formula1>
          <xm:sqref>BI7:BI15</xm:sqref>
        </x14:dataValidation>
        <x14:dataValidation type="custom" allowBlank="1" showInputMessage="1" showErrorMessage="1" prompt="Recuerde que las acciones se generan bajo la medida de mitigar el riesgo" xr:uid="{56CF9FBA-6826-4804-BB65-90FF759EDC7B}">
          <x14:formula1>
            <xm:f>IF(OR(BD7='Opciones Tratamiento'!$B$2,BD7='Opciones Tratamiento'!$B$3,BD7='Opciones Tratamiento'!$B$4),ISBLANK(BD7),ISTEXT(BD7))</xm:f>
          </x14:formula1>
          <xm:sqref>BE7:BE15</xm:sqref>
        </x14:dataValidation>
        <x14:dataValidation type="custom" allowBlank="1" showInputMessage="1" showErrorMessage="1" prompt="Recuerde que las acciones se generan bajo la medida de mitigar el riesgo" xr:uid="{AF1DDC02-26DE-4830-85CE-29B9C6BBF7E0}">
          <x14:formula1>
            <xm:f>IF(OR(BD7='Opciones Tratamiento'!$B$2,BD7='Opciones Tratamiento'!$B$3,BD7='Opciones Tratamiento'!$B$4),ISBLANK(BD7),ISTEXT(BD7))</xm:f>
          </x14:formula1>
          <xm:sqref>BH7:BH15</xm:sqref>
        </x14:dataValidation>
        <x14:dataValidation type="custom" allowBlank="1" showInputMessage="1" showErrorMessage="1" prompt="Recuerde que las acciones se generan bajo la medida de mitigar el riesgo" xr:uid="{B33A575D-296D-4F85-9D9B-4DC82A781D7F}">
          <x14:formula1>
            <xm:f>IF(OR(BD7='Opciones Tratamiento'!$B$2,BD7='Opciones Tratamiento'!$B$3,BD7='Opciones Tratamiento'!$B$4),ISBLANK(BD7),ISTEXT(BD7))</xm:f>
          </x14:formula1>
          <xm:sqref>BG7:BG15</xm:sqref>
        </x14:dataValidation>
        <x14:dataValidation type="custom" allowBlank="1" showInputMessage="1" showErrorMessage="1" prompt="Recuerde que las acciones se generan bajo la medida de mitigar el riesgo" xr:uid="{E6C97E70-6A31-4293-86BF-2F35EB8375EE}">
          <x14:formula1>
            <xm:f>IF(OR(BD7='Opciones Tratamiento'!$B$2,BD7='Opciones Tratamiento'!$B$3,BD7='Opciones Tratamiento'!$B$4),ISBLANK(BD7),ISTEXT(BD7))</xm:f>
          </x14:formula1>
          <xm:sqref>BF7:BF15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00"/>
  <sheetViews>
    <sheetView workbookViewId="0">
      <selection activeCell="H3" sqref="H3"/>
    </sheetView>
  </sheetViews>
  <sheetFormatPr baseColWidth="10" defaultColWidth="12.5" defaultRowHeight="15" customHeight="1" x14ac:dyDescent="0.15"/>
  <cols>
    <col min="1" max="7" width="9.33203125" customWidth="1"/>
    <col min="8" max="8" width="17.33203125" customWidth="1"/>
    <col min="9" max="9" width="21" customWidth="1"/>
    <col min="10" max="11" width="10.6640625" customWidth="1"/>
    <col min="12" max="12" width="23.33203125" customWidth="1"/>
    <col min="13" max="13" width="22.5" customWidth="1"/>
    <col min="14" max="16" width="10.6640625" customWidth="1"/>
    <col min="17" max="27" width="9.33203125" customWidth="1"/>
  </cols>
  <sheetData>
    <row r="1" spans="2:16" ht="15" customHeight="1" x14ac:dyDescent="0.15">
      <c r="H1" t="s">
        <v>207</v>
      </c>
      <c r="I1" t="s">
        <v>209</v>
      </c>
      <c r="J1" t="s">
        <v>223</v>
      </c>
      <c r="K1" t="s">
        <v>229</v>
      </c>
      <c r="L1" t="s">
        <v>230</v>
      </c>
      <c r="M1" t="s">
        <v>275</v>
      </c>
      <c r="N1" t="s">
        <v>276</v>
      </c>
      <c r="O1" t="s">
        <v>277</v>
      </c>
      <c r="P1" t="s">
        <v>211</v>
      </c>
    </row>
    <row r="2" spans="2:16" x14ac:dyDescent="0.2">
      <c r="B2" s="106" t="s">
        <v>186</v>
      </c>
      <c r="E2" s="106" t="s">
        <v>187</v>
      </c>
      <c r="H2" s="128" t="s">
        <v>391</v>
      </c>
      <c r="I2" t="s">
        <v>210</v>
      </c>
      <c r="J2" t="s">
        <v>224</v>
      </c>
      <c r="K2" t="s">
        <v>231</v>
      </c>
      <c r="L2" t="s">
        <v>232</v>
      </c>
      <c r="M2" t="s">
        <v>278</v>
      </c>
      <c r="N2" t="s">
        <v>279</v>
      </c>
      <c r="O2" t="s">
        <v>280</v>
      </c>
      <c r="P2" s="128" t="s">
        <v>224</v>
      </c>
    </row>
    <row r="3" spans="2:16" x14ac:dyDescent="0.2">
      <c r="B3" s="106" t="s">
        <v>188</v>
      </c>
      <c r="E3" s="106" t="s">
        <v>189</v>
      </c>
      <c r="H3" t="s">
        <v>221</v>
      </c>
      <c r="I3" t="s">
        <v>210</v>
      </c>
      <c r="J3" t="s">
        <v>225</v>
      </c>
      <c r="K3" t="s">
        <v>233</v>
      </c>
      <c r="L3" t="s">
        <v>234</v>
      </c>
      <c r="M3" t="s">
        <v>281</v>
      </c>
      <c r="N3" t="s">
        <v>282</v>
      </c>
      <c r="O3" t="s">
        <v>283</v>
      </c>
      <c r="P3" s="128" t="s">
        <v>225</v>
      </c>
    </row>
    <row r="4" spans="2:16" x14ac:dyDescent="0.2">
      <c r="B4" s="106" t="s">
        <v>190</v>
      </c>
      <c r="E4" s="106" t="s">
        <v>191</v>
      </c>
      <c r="H4" t="s">
        <v>212</v>
      </c>
      <c r="I4" t="s">
        <v>388</v>
      </c>
      <c r="K4" t="s">
        <v>235</v>
      </c>
      <c r="L4" t="s">
        <v>236</v>
      </c>
      <c r="M4" t="s">
        <v>284</v>
      </c>
      <c r="N4" t="s">
        <v>285</v>
      </c>
      <c r="O4" t="s">
        <v>286</v>
      </c>
      <c r="P4" s="128" t="s">
        <v>210</v>
      </c>
    </row>
    <row r="5" spans="2:16" x14ac:dyDescent="0.2">
      <c r="B5" s="106" t="s">
        <v>192</v>
      </c>
      <c r="H5" s="128"/>
      <c r="I5" s="128" t="s">
        <v>389</v>
      </c>
      <c r="K5" t="s">
        <v>237</v>
      </c>
      <c r="L5" t="s">
        <v>236</v>
      </c>
      <c r="M5" t="s">
        <v>287</v>
      </c>
      <c r="N5" t="s">
        <v>288</v>
      </c>
      <c r="O5" t="s">
        <v>289</v>
      </c>
      <c r="P5" s="128"/>
    </row>
    <row r="6" spans="2:16" ht="15" customHeight="1" x14ac:dyDescent="0.15">
      <c r="I6" t="s">
        <v>390</v>
      </c>
      <c r="K6" t="s">
        <v>238</v>
      </c>
      <c r="L6" t="s">
        <v>236</v>
      </c>
      <c r="M6" t="s">
        <v>290</v>
      </c>
      <c r="N6" t="s">
        <v>291</v>
      </c>
      <c r="O6" t="s">
        <v>292</v>
      </c>
      <c r="P6" s="128"/>
    </row>
    <row r="7" spans="2:16" ht="15" customHeight="1" x14ac:dyDescent="0.15">
      <c r="I7" t="s">
        <v>213</v>
      </c>
      <c r="K7" t="s">
        <v>239</v>
      </c>
      <c r="L7" t="s">
        <v>236</v>
      </c>
      <c r="M7" t="s">
        <v>293</v>
      </c>
      <c r="N7" t="s">
        <v>294</v>
      </c>
      <c r="O7" t="s">
        <v>295</v>
      </c>
    </row>
    <row r="8" spans="2:16" x14ac:dyDescent="0.2">
      <c r="B8" s="106" t="s">
        <v>193</v>
      </c>
      <c r="I8" t="s">
        <v>214</v>
      </c>
      <c r="K8" t="s">
        <v>240</v>
      </c>
      <c r="L8" t="s">
        <v>236</v>
      </c>
      <c r="M8" t="s">
        <v>296</v>
      </c>
      <c r="N8" t="s">
        <v>297</v>
      </c>
      <c r="O8" t="s">
        <v>298</v>
      </c>
    </row>
    <row r="9" spans="2:16" x14ac:dyDescent="0.2">
      <c r="B9" s="106" t="s">
        <v>194</v>
      </c>
      <c r="I9" t="s">
        <v>215</v>
      </c>
      <c r="K9" t="s">
        <v>241</v>
      </c>
      <c r="L9" t="s">
        <v>236</v>
      </c>
      <c r="M9" t="s">
        <v>299</v>
      </c>
      <c r="N9" t="s">
        <v>300</v>
      </c>
      <c r="O9" t="s">
        <v>301</v>
      </c>
    </row>
    <row r="10" spans="2:16" x14ac:dyDescent="0.2">
      <c r="B10" s="106" t="s">
        <v>195</v>
      </c>
      <c r="I10" t="s">
        <v>216</v>
      </c>
      <c r="K10" t="s">
        <v>242</v>
      </c>
      <c r="L10" t="s">
        <v>243</v>
      </c>
      <c r="M10" t="s">
        <v>302</v>
      </c>
      <c r="N10" t="s">
        <v>303</v>
      </c>
      <c r="O10" t="s">
        <v>304</v>
      </c>
    </row>
    <row r="11" spans="2:16" ht="15" customHeight="1" x14ac:dyDescent="0.15">
      <c r="I11" t="s">
        <v>217</v>
      </c>
      <c r="K11" t="s">
        <v>244</v>
      </c>
      <c r="L11" t="s">
        <v>243</v>
      </c>
      <c r="M11" t="s">
        <v>305</v>
      </c>
      <c r="N11" t="s">
        <v>306</v>
      </c>
      <c r="O11" t="s">
        <v>307</v>
      </c>
    </row>
    <row r="12" spans="2:16" ht="15" customHeight="1" x14ac:dyDescent="0.15">
      <c r="I12" t="s">
        <v>218</v>
      </c>
      <c r="K12" t="s">
        <v>245</v>
      </c>
      <c r="L12" t="s">
        <v>243</v>
      </c>
      <c r="M12" t="s">
        <v>308</v>
      </c>
      <c r="N12" t="s">
        <v>309</v>
      </c>
      <c r="O12" t="s">
        <v>310</v>
      </c>
    </row>
    <row r="13" spans="2:16" x14ac:dyDescent="0.2">
      <c r="B13" s="106" t="s">
        <v>196</v>
      </c>
      <c r="I13" t="s">
        <v>219</v>
      </c>
      <c r="K13" t="s">
        <v>246</v>
      </c>
      <c r="L13" t="s">
        <v>243</v>
      </c>
      <c r="M13" t="s">
        <v>311</v>
      </c>
      <c r="N13" t="s">
        <v>312</v>
      </c>
      <c r="O13" t="s">
        <v>313</v>
      </c>
    </row>
    <row r="14" spans="2:16" x14ac:dyDescent="0.2">
      <c r="B14" s="106" t="s">
        <v>197</v>
      </c>
      <c r="I14" t="s">
        <v>220</v>
      </c>
      <c r="K14" t="s">
        <v>247</v>
      </c>
      <c r="L14" t="s">
        <v>248</v>
      </c>
      <c r="M14" t="s">
        <v>314</v>
      </c>
      <c r="N14" t="s">
        <v>315</v>
      </c>
      <c r="O14" t="s">
        <v>316</v>
      </c>
    </row>
    <row r="15" spans="2:16" x14ac:dyDescent="0.2">
      <c r="B15" s="106" t="s">
        <v>198</v>
      </c>
      <c r="K15" t="s">
        <v>249</v>
      </c>
      <c r="L15" t="s">
        <v>248</v>
      </c>
      <c r="M15" t="s">
        <v>317</v>
      </c>
      <c r="N15" t="s">
        <v>318</v>
      </c>
      <c r="O15" t="s">
        <v>319</v>
      </c>
    </row>
    <row r="16" spans="2:16" x14ac:dyDescent="0.2">
      <c r="B16" s="106" t="s">
        <v>199</v>
      </c>
      <c r="K16" t="s">
        <v>250</v>
      </c>
      <c r="L16" t="s">
        <v>248</v>
      </c>
      <c r="M16" t="s">
        <v>320</v>
      </c>
      <c r="N16" t="s">
        <v>321</v>
      </c>
      <c r="O16" t="s">
        <v>322</v>
      </c>
    </row>
    <row r="17" spans="2:15" x14ac:dyDescent="0.2">
      <c r="B17" s="106" t="s">
        <v>200</v>
      </c>
      <c r="K17" t="s">
        <v>251</v>
      </c>
      <c r="L17" t="s">
        <v>232</v>
      </c>
      <c r="M17" t="s">
        <v>253</v>
      </c>
      <c r="N17" t="s">
        <v>323</v>
      </c>
      <c r="O17" t="s">
        <v>324</v>
      </c>
    </row>
    <row r="18" spans="2:15" x14ac:dyDescent="0.2">
      <c r="B18" s="106" t="s">
        <v>201</v>
      </c>
      <c r="M18" t="s">
        <v>325</v>
      </c>
      <c r="N18" t="s">
        <v>326</v>
      </c>
      <c r="O18" t="s">
        <v>327</v>
      </c>
    </row>
    <row r="19" spans="2:15" x14ac:dyDescent="0.2">
      <c r="B19" s="106" t="s">
        <v>202</v>
      </c>
      <c r="M19" t="s">
        <v>328</v>
      </c>
      <c r="N19" t="s">
        <v>329</v>
      </c>
      <c r="O19" t="s">
        <v>330</v>
      </c>
    </row>
    <row r="20" spans="2:15" ht="15" customHeight="1" x14ac:dyDescent="0.2">
      <c r="B20" s="104" t="s">
        <v>226</v>
      </c>
      <c r="M20" t="s">
        <v>331</v>
      </c>
      <c r="N20" t="s">
        <v>332</v>
      </c>
      <c r="O20" t="s">
        <v>333</v>
      </c>
    </row>
    <row r="21" spans="2:15" ht="15.75" customHeight="1" x14ac:dyDescent="0.2">
      <c r="B21" s="104" t="s">
        <v>227</v>
      </c>
      <c r="M21" t="s">
        <v>254</v>
      </c>
      <c r="N21" t="s">
        <v>334</v>
      </c>
      <c r="O21" t="s">
        <v>335</v>
      </c>
    </row>
    <row r="22" spans="2:15" ht="15.75" customHeight="1" x14ac:dyDescent="0.2">
      <c r="B22" s="104" t="s">
        <v>228</v>
      </c>
      <c r="M22" t="s">
        <v>336</v>
      </c>
      <c r="N22" t="s">
        <v>337</v>
      </c>
      <c r="O22" t="s">
        <v>338</v>
      </c>
    </row>
    <row r="23" spans="2:15" ht="15.75" customHeight="1" x14ac:dyDescent="0.2">
      <c r="B23" s="104" t="s">
        <v>395</v>
      </c>
      <c r="M23" t="s">
        <v>339</v>
      </c>
      <c r="N23" t="s">
        <v>340</v>
      </c>
      <c r="O23" t="s">
        <v>341</v>
      </c>
    </row>
    <row r="24" spans="2:15" ht="15.75" customHeight="1" x14ac:dyDescent="0.15">
      <c r="M24" t="s">
        <v>342</v>
      </c>
      <c r="N24" t="s">
        <v>343</v>
      </c>
      <c r="O24" t="s">
        <v>344</v>
      </c>
    </row>
    <row r="25" spans="2:15" ht="15.75" customHeight="1" x14ac:dyDescent="0.15">
      <c r="M25" t="s">
        <v>345</v>
      </c>
      <c r="N25" t="s">
        <v>346</v>
      </c>
      <c r="O25" t="s">
        <v>347</v>
      </c>
    </row>
    <row r="26" spans="2:15" ht="15.75" customHeight="1" x14ac:dyDescent="0.15">
      <c r="M26" t="s">
        <v>348</v>
      </c>
      <c r="N26" t="s">
        <v>349</v>
      </c>
      <c r="O26" t="s">
        <v>350</v>
      </c>
    </row>
    <row r="27" spans="2:15" ht="15.75" customHeight="1" x14ac:dyDescent="0.15">
      <c r="M27" t="s">
        <v>351</v>
      </c>
      <c r="N27" t="s">
        <v>352</v>
      </c>
      <c r="O27" t="s">
        <v>353</v>
      </c>
    </row>
    <row r="28" spans="2:15" ht="15.75" customHeight="1" x14ac:dyDescent="0.15">
      <c r="M28" t="s">
        <v>354</v>
      </c>
      <c r="N28" t="s">
        <v>355</v>
      </c>
      <c r="O28" t="s">
        <v>356</v>
      </c>
    </row>
    <row r="29" spans="2:15" ht="15.75" customHeight="1" x14ac:dyDescent="0.15">
      <c r="M29" t="s">
        <v>357</v>
      </c>
      <c r="N29" t="s">
        <v>358</v>
      </c>
      <c r="O29" t="s">
        <v>359</v>
      </c>
    </row>
    <row r="30" spans="2:15" ht="15.75" customHeight="1" x14ac:dyDescent="0.15">
      <c r="M30" t="s">
        <v>360</v>
      </c>
      <c r="N30" t="s">
        <v>361</v>
      </c>
      <c r="O30" t="s">
        <v>362</v>
      </c>
    </row>
    <row r="31" spans="2:15" ht="15.75" customHeight="1" x14ac:dyDescent="0.15">
      <c r="M31" t="s">
        <v>363</v>
      </c>
      <c r="N31" t="s">
        <v>364</v>
      </c>
      <c r="O31" t="s">
        <v>365</v>
      </c>
    </row>
    <row r="32" spans="2:15" ht="15.75" customHeight="1" x14ac:dyDescent="0.15">
      <c r="M32" t="s">
        <v>366</v>
      </c>
      <c r="N32" t="s">
        <v>367</v>
      </c>
      <c r="O32" t="s">
        <v>368</v>
      </c>
    </row>
    <row r="33" spans="13:15" ht="15.75" customHeight="1" x14ac:dyDescent="0.15">
      <c r="M33" t="s">
        <v>369</v>
      </c>
      <c r="N33" t="s">
        <v>370</v>
      </c>
      <c r="O33" t="s">
        <v>371</v>
      </c>
    </row>
    <row r="34" spans="13:15" ht="15.75" customHeight="1" x14ac:dyDescent="0.15">
      <c r="M34" t="s">
        <v>372</v>
      </c>
      <c r="N34" t="s">
        <v>373</v>
      </c>
      <c r="O34" t="s">
        <v>374</v>
      </c>
    </row>
    <row r="35" spans="13:15" ht="15.75" customHeight="1" x14ac:dyDescent="0.15">
      <c r="M35" t="s">
        <v>375</v>
      </c>
      <c r="N35" t="s">
        <v>376</v>
      </c>
      <c r="O35" t="s">
        <v>377</v>
      </c>
    </row>
    <row r="36" spans="13:15" ht="15.75" customHeight="1" x14ac:dyDescent="0.15">
      <c r="M36" t="s">
        <v>378</v>
      </c>
      <c r="N36" t="s">
        <v>379</v>
      </c>
      <c r="O36" t="s">
        <v>380</v>
      </c>
    </row>
    <row r="37" spans="13:15" ht="15.75" customHeight="1" x14ac:dyDescent="0.15">
      <c r="M37" s="128" t="s">
        <v>210</v>
      </c>
      <c r="N37" s="128" t="s">
        <v>210</v>
      </c>
      <c r="O37" s="128" t="s">
        <v>210</v>
      </c>
    </row>
    <row r="38" spans="13:15" ht="15.75" customHeight="1" x14ac:dyDescent="0.15"/>
    <row r="39" spans="13:15" ht="15.75" customHeight="1" x14ac:dyDescent="0.15"/>
    <row r="40" spans="13:15" ht="15.75" customHeight="1" x14ac:dyDescent="0.15"/>
    <row r="41" spans="13:15" ht="15.75" customHeight="1" x14ac:dyDescent="0.15"/>
    <row r="42" spans="13:15" ht="15.75" customHeight="1" x14ac:dyDescent="0.15"/>
    <row r="43" spans="13:15" ht="15.75" customHeight="1" x14ac:dyDescent="0.15"/>
    <row r="44" spans="13:15" ht="15.75" customHeight="1" x14ac:dyDescent="0.15"/>
    <row r="45" spans="13:15" ht="15.75" customHeight="1" x14ac:dyDescent="0.15"/>
    <row r="46" spans="13:15" ht="15.75" customHeight="1" x14ac:dyDescent="0.15"/>
    <row r="47" spans="13:15" ht="15.75" customHeight="1" x14ac:dyDescent="0.15"/>
    <row r="48" spans="13: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honeticPr fontId="52"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topLeftCell="A3" zoomScale="60" workbookViewId="0">
      <selection activeCell="L16" sqref="L16:M17"/>
    </sheetView>
  </sheetViews>
  <sheetFormatPr baseColWidth="10" defaultColWidth="12.5" defaultRowHeight="15" customHeight="1" x14ac:dyDescent="0.15"/>
  <cols>
    <col min="1" max="1" width="9.33203125" customWidth="1"/>
    <col min="2" max="39" width="5" customWidth="1"/>
    <col min="40" max="40" width="9.33203125" customWidth="1"/>
    <col min="41" max="46" width="5" customWidth="1"/>
    <col min="47" max="61" width="9.33203125" customWidth="1"/>
  </cols>
  <sheetData>
    <row r="1" spans="1:6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
      <c r="A2" s="1"/>
      <c r="B2" s="270" t="s">
        <v>87</v>
      </c>
      <c r="C2" s="153"/>
      <c r="D2" s="153"/>
      <c r="E2" s="153"/>
      <c r="F2" s="153"/>
      <c r="G2" s="153"/>
      <c r="H2" s="153"/>
      <c r="I2" s="153"/>
      <c r="J2" s="271" t="s">
        <v>15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3"/>
      <c r="AN2" s="1"/>
      <c r="AO2" s="1"/>
      <c r="AP2" s="1"/>
      <c r="AQ2" s="1"/>
      <c r="AR2" s="1"/>
      <c r="AS2" s="1"/>
      <c r="AT2" s="1"/>
      <c r="AU2" s="1"/>
      <c r="AV2" s="1"/>
      <c r="AW2" s="1"/>
      <c r="AX2" s="1"/>
      <c r="AY2" s="1"/>
      <c r="AZ2" s="1"/>
      <c r="BA2" s="1"/>
      <c r="BB2" s="1"/>
      <c r="BC2" s="1"/>
      <c r="BD2" s="1"/>
      <c r="BE2" s="1"/>
      <c r="BF2" s="1"/>
      <c r="BG2" s="1"/>
      <c r="BH2" s="1"/>
      <c r="BI2" s="1"/>
    </row>
    <row r="3" spans="1:61" ht="18.75" customHeight="1" x14ac:dyDescent="0.2">
      <c r="A3" s="1"/>
      <c r="B3" s="153"/>
      <c r="C3" s="153"/>
      <c r="D3" s="153"/>
      <c r="E3" s="153"/>
      <c r="F3" s="153"/>
      <c r="G3" s="153"/>
      <c r="H3" s="153"/>
      <c r="I3" s="153"/>
      <c r="J3" s="27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274"/>
      <c r="AN3" s="1"/>
      <c r="AO3" s="1"/>
      <c r="AP3" s="1"/>
      <c r="AQ3" s="1"/>
      <c r="AR3" s="1"/>
      <c r="AS3" s="1"/>
      <c r="AT3" s="1"/>
      <c r="AU3" s="1"/>
      <c r="AV3" s="1"/>
      <c r="AW3" s="1"/>
      <c r="AX3" s="1"/>
      <c r="AY3" s="1"/>
      <c r="AZ3" s="1"/>
      <c r="BA3" s="1"/>
      <c r="BB3" s="1"/>
      <c r="BC3" s="1"/>
      <c r="BD3" s="1"/>
      <c r="BE3" s="1"/>
      <c r="BF3" s="1"/>
      <c r="BG3" s="1"/>
      <c r="BH3" s="1"/>
      <c r="BI3" s="1"/>
    </row>
    <row r="4" spans="1:61" ht="15" customHeight="1" x14ac:dyDescent="0.2">
      <c r="A4" s="1"/>
      <c r="B4" s="153"/>
      <c r="C4" s="153"/>
      <c r="D4" s="153"/>
      <c r="E4" s="153"/>
      <c r="F4" s="153"/>
      <c r="G4" s="153"/>
      <c r="H4" s="153"/>
      <c r="I4" s="153"/>
      <c r="J4" s="23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5"/>
      <c r="AN4" s="1"/>
      <c r="AO4" s="1"/>
      <c r="AP4" s="1"/>
      <c r="AQ4" s="1"/>
      <c r="AR4" s="1"/>
      <c r="AS4" s="1"/>
      <c r="AT4" s="1"/>
      <c r="AU4" s="1"/>
      <c r="AV4" s="1"/>
      <c r="AW4" s="1"/>
      <c r="AX4" s="1"/>
      <c r="AY4" s="1"/>
      <c r="AZ4" s="1"/>
      <c r="BA4" s="1"/>
      <c r="BB4" s="1"/>
      <c r="BC4" s="1"/>
      <c r="BD4" s="1"/>
      <c r="BE4" s="1"/>
      <c r="BF4" s="1"/>
      <c r="BG4" s="1"/>
      <c r="BH4" s="1"/>
      <c r="BI4" s="1"/>
    </row>
    <row r="5" spans="1:6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
      <c r="A6" s="1"/>
      <c r="B6" s="276" t="s">
        <v>88</v>
      </c>
      <c r="C6" s="272"/>
      <c r="D6" s="229"/>
      <c r="E6" s="264" t="s">
        <v>89</v>
      </c>
      <c r="F6" s="265"/>
      <c r="G6" s="265"/>
      <c r="H6" s="265"/>
      <c r="I6" s="247"/>
      <c r="J6" s="237" t="str">
        <f ca="1">IF(AND('Mapa final'!$L$7="Muy Alta",'Mapa final'!$AI$7="Leve"),CONCATENATE("R",'Mapa final'!$A$7),"")</f>
        <v/>
      </c>
      <c r="K6" s="238"/>
      <c r="L6" s="239" t="e">
        <f>IF(AND('Mapa final'!#REF!="Muy Alta",'Mapa final'!#REF!="Leve"),CONCATENATE("R",'Mapa final'!#REF!),"")</f>
        <v>#REF!</v>
      </c>
      <c r="M6" s="238"/>
      <c r="N6" s="239" t="e">
        <f>IF(AND('Mapa final'!#REF!="Muy Alta",'Mapa final'!#REF!="Leve"),CONCATENATE("R",'Mapa final'!#REF!),"")</f>
        <v>#REF!</v>
      </c>
      <c r="O6" s="247"/>
      <c r="P6" s="237" t="str">
        <f ca="1">IF(AND('Mapa final'!$L$7="Muy Alta",'Mapa final'!$AI$7="Menor"),CONCATENATE("R",'Mapa final'!$A$7),"")</f>
        <v/>
      </c>
      <c r="Q6" s="238"/>
      <c r="R6" s="239" t="e">
        <f>IF(AND('Mapa final'!#REF!="Muy Alta",'Mapa final'!#REF!="Menor"),CONCATENATE("R",'Mapa final'!#REF!),"")</f>
        <v>#REF!</v>
      </c>
      <c r="S6" s="238"/>
      <c r="T6" s="239" t="e">
        <f>IF(AND('Mapa final'!#REF!="Muy Alta",'Mapa final'!#REF!="Menor"),CONCATENATE("R",'Mapa final'!#REF!),"")</f>
        <v>#REF!</v>
      </c>
      <c r="U6" s="247"/>
      <c r="V6" s="237" t="str">
        <f ca="1">IF(AND('Mapa final'!$L$7="Muy Alta",'Mapa final'!$AI$7="Moderado"),CONCATENATE("R",'Mapa final'!$A$7),"")</f>
        <v/>
      </c>
      <c r="W6" s="238"/>
      <c r="X6" s="239" t="e">
        <f>IF(AND('Mapa final'!#REF!="Muy Alta",'Mapa final'!#REF!="Moderado"),CONCATENATE("R",'Mapa final'!#REF!),"")</f>
        <v>#REF!</v>
      </c>
      <c r="Y6" s="238"/>
      <c r="Z6" s="239" t="e">
        <f>IF(AND('Mapa final'!#REF!="Muy Alta",'Mapa final'!#REF!="Moderado"),CONCATENATE("R",'Mapa final'!#REF!),"")</f>
        <v>#REF!</v>
      </c>
      <c r="AA6" s="247"/>
      <c r="AB6" s="237" t="str">
        <f ca="1">IF(AND('Mapa final'!$L$7="Muy Alta",'Mapa final'!$AI$7="Mayor"),CONCATENATE("R",'Mapa final'!$A$7),"")</f>
        <v/>
      </c>
      <c r="AC6" s="238"/>
      <c r="AD6" s="239" t="e">
        <f>IF(AND('Mapa final'!#REF!="Muy Alta",'Mapa final'!#REF!="Mayor"),CONCATENATE("R",'Mapa final'!#REF!),"")</f>
        <v>#REF!</v>
      </c>
      <c r="AE6" s="238"/>
      <c r="AF6" s="239" t="e">
        <f>IF(AND('Mapa final'!#REF!="Muy Alta",'Mapa final'!#REF!="Mayor"),CONCATENATE("R",'Mapa final'!#REF!),"")</f>
        <v>#REF!</v>
      </c>
      <c r="AG6" s="247"/>
      <c r="AH6" s="249" t="str">
        <f ca="1">IF(AND('Mapa final'!$L$7="Muy Alta",'Mapa final'!$AI$7="Catastrófico"),CONCATENATE("R",'Mapa final'!$A$7),"")</f>
        <v/>
      </c>
      <c r="AI6" s="238"/>
      <c r="AJ6" s="241" t="e">
        <f>IF(AND('Mapa final'!#REF!="Muy Alta",'Mapa final'!#REF!="Catastrófico"),CONCATENATE("R",'Mapa final'!#REF!),"")</f>
        <v>#REF!</v>
      </c>
      <c r="AK6" s="238"/>
      <c r="AL6" s="241" t="e">
        <f>IF(AND('Mapa final'!#REF!="Muy Alta",'Mapa final'!#REF!="Catastrófico"),CONCATENATE("R",'Mapa final'!#REF!),"")</f>
        <v>#REF!</v>
      </c>
      <c r="AM6" s="247"/>
      <c r="AO6" s="263" t="s">
        <v>90</v>
      </c>
      <c r="AP6" s="254"/>
      <c r="AQ6" s="254"/>
      <c r="AR6" s="254"/>
      <c r="AS6" s="254"/>
      <c r="AT6" s="255"/>
      <c r="AU6" s="1"/>
      <c r="AV6" s="1"/>
      <c r="AW6" s="1"/>
      <c r="AX6" s="1"/>
      <c r="AY6" s="1"/>
      <c r="AZ6" s="1"/>
      <c r="BA6" s="1"/>
      <c r="BB6" s="1"/>
      <c r="BC6" s="1"/>
      <c r="BD6" s="1"/>
      <c r="BE6" s="1"/>
      <c r="BF6" s="1"/>
      <c r="BG6" s="1"/>
      <c r="BH6" s="1"/>
      <c r="BI6" s="1"/>
    </row>
    <row r="7" spans="1:61" ht="15" customHeight="1" x14ac:dyDescent="0.2">
      <c r="A7" s="1"/>
      <c r="B7" s="273"/>
      <c r="C7" s="153"/>
      <c r="D7" s="154"/>
      <c r="E7" s="165"/>
      <c r="F7" s="153"/>
      <c r="G7" s="153"/>
      <c r="H7" s="153"/>
      <c r="I7" s="154"/>
      <c r="J7" s="234"/>
      <c r="K7" s="235"/>
      <c r="L7" s="230"/>
      <c r="M7" s="235"/>
      <c r="N7" s="230"/>
      <c r="O7" s="231"/>
      <c r="P7" s="234"/>
      <c r="Q7" s="235"/>
      <c r="R7" s="230"/>
      <c r="S7" s="235"/>
      <c r="T7" s="230"/>
      <c r="U7" s="231"/>
      <c r="V7" s="234"/>
      <c r="W7" s="235"/>
      <c r="X7" s="230"/>
      <c r="Y7" s="235"/>
      <c r="Z7" s="230"/>
      <c r="AA7" s="231"/>
      <c r="AB7" s="234"/>
      <c r="AC7" s="235"/>
      <c r="AD7" s="230"/>
      <c r="AE7" s="235"/>
      <c r="AF7" s="230"/>
      <c r="AG7" s="231"/>
      <c r="AH7" s="234"/>
      <c r="AI7" s="235"/>
      <c r="AJ7" s="230"/>
      <c r="AK7" s="235"/>
      <c r="AL7" s="230"/>
      <c r="AM7" s="231"/>
      <c r="AN7" s="1"/>
      <c r="AO7" s="256"/>
      <c r="AP7" s="153"/>
      <c r="AQ7" s="153"/>
      <c r="AR7" s="153"/>
      <c r="AS7" s="153"/>
      <c r="AT7" s="257"/>
      <c r="AU7" s="1"/>
      <c r="AV7" s="1"/>
      <c r="AW7" s="1"/>
      <c r="AX7" s="1"/>
      <c r="AY7" s="1"/>
      <c r="AZ7" s="1"/>
      <c r="BA7" s="1"/>
      <c r="BB7" s="1"/>
      <c r="BC7" s="1"/>
      <c r="BD7" s="1"/>
      <c r="BE7" s="1"/>
      <c r="BF7" s="1"/>
      <c r="BG7" s="1"/>
      <c r="BH7" s="1"/>
      <c r="BI7" s="1"/>
    </row>
    <row r="8" spans="1:61" ht="15" customHeight="1" x14ac:dyDescent="0.2">
      <c r="A8" s="1"/>
      <c r="B8" s="273"/>
      <c r="C8" s="153"/>
      <c r="D8" s="154"/>
      <c r="E8" s="165"/>
      <c r="F8" s="153"/>
      <c r="G8" s="153"/>
      <c r="H8" s="153"/>
      <c r="I8" s="154"/>
      <c r="J8" s="240" t="e">
        <f>IF(AND('Mapa final'!#REF!="Muy Alta",'Mapa final'!#REF!="Leve"),CONCATENATE("R",'Mapa final'!#REF!),"")</f>
        <v>#REF!</v>
      </c>
      <c r="K8" s="233"/>
      <c r="L8" s="228" t="e">
        <f>IF(AND('Mapa final'!#REF!="Muy Alta",'Mapa final'!#REF!="Leve"),CONCATENATE("R",'Mapa final'!#REF!),"")</f>
        <v>#REF!</v>
      </c>
      <c r="M8" s="233"/>
      <c r="N8" s="228" t="e">
        <f>IF(AND('Mapa final'!#REF!="Muy Alta",'Mapa final'!#REF!="Leve"),CONCATENATE("R",'Mapa final'!#REF!),"")</f>
        <v>#REF!</v>
      </c>
      <c r="O8" s="229"/>
      <c r="P8" s="240" t="e">
        <f>IF(AND('Mapa final'!#REF!="Muy Alta",'Mapa final'!#REF!="Menor"),CONCATENATE("R",'Mapa final'!#REF!),"")</f>
        <v>#REF!</v>
      </c>
      <c r="Q8" s="233"/>
      <c r="R8" s="228" t="e">
        <f>IF(AND('Mapa final'!#REF!="Muy Alta",'Mapa final'!#REF!="Menor"),CONCATENATE("R",'Mapa final'!#REF!),"")</f>
        <v>#REF!</v>
      </c>
      <c r="S8" s="233"/>
      <c r="T8" s="228" t="e">
        <f>IF(AND('Mapa final'!#REF!="Muy Alta",'Mapa final'!#REF!="Menor"),CONCATENATE("R",'Mapa final'!#REF!),"")</f>
        <v>#REF!</v>
      </c>
      <c r="U8" s="229"/>
      <c r="V8" s="240" t="e">
        <f>IF(AND('Mapa final'!#REF!="Muy Alta",'Mapa final'!#REF!="Moderado"),CONCATENATE("R",'Mapa final'!#REF!),"")</f>
        <v>#REF!</v>
      </c>
      <c r="W8" s="233"/>
      <c r="X8" s="228" t="e">
        <f>IF(AND('Mapa final'!#REF!="Muy Alta",'Mapa final'!#REF!="Moderado"),CONCATENATE("R",'Mapa final'!#REF!),"")</f>
        <v>#REF!</v>
      </c>
      <c r="Y8" s="233"/>
      <c r="Z8" s="228" t="e">
        <f>IF(AND('Mapa final'!#REF!="Muy Alta",'Mapa final'!#REF!="Moderado"),CONCATENATE("R",'Mapa final'!#REF!),"")</f>
        <v>#REF!</v>
      </c>
      <c r="AA8" s="229"/>
      <c r="AB8" s="240" t="e">
        <f>IF(AND('Mapa final'!#REF!="Muy Alta",'Mapa final'!#REF!="Mayor"),CONCATENATE("R",'Mapa final'!#REF!),"")</f>
        <v>#REF!</v>
      </c>
      <c r="AC8" s="233"/>
      <c r="AD8" s="228" t="e">
        <f>IF(AND('Mapa final'!#REF!="Muy Alta",'Mapa final'!#REF!="Mayor"),CONCATENATE("R",'Mapa final'!#REF!),"")</f>
        <v>#REF!</v>
      </c>
      <c r="AE8" s="233"/>
      <c r="AF8" s="228" t="e">
        <f>IF(AND('Mapa final'!#REF!="Muy Alta",'Mapa final'!#REF!="Mayor"),CONCATENATE("R",'Mapa final'!#REF!),"")</f>
        <v>#REF!</v>
      </c>
      <c r="AG8" s="229"/>
      <c r="AH8" s="232" t="e">
        <f>IF(AND('Mapa final'!#REF!="Muy Alta",'Mapa final'!#REF!="Catastrófico"),CONCATENATE("R",'Mapa final'!#REF!),"")</f>
        <v>#REF!</v>
      </c>
      <c r="AI8" s="233"/>
      <c r="AJ8" s="236" t="e">
        <f>IF(AND('Mapa final'!#REF!="Muy Alta",'Mapa final'!#REF!="Catastrófico"),CONCATENATE("R",'Mapa final'!#REF!),"")</f>
        <v>#REF!</v>
      </c>
      <c r="AK8" s="233"/>
      <c r="AL8" s="236" t="e">
        <f>IF(AND('Mapa final'!#REF!="Muy Alta",'Mapa final'!#REF!="Catastrófico"),CONCATENATE("R",'Mapa final'!#REF!),"")</f>
        <v>#REF!</v>
      </c>
      <c r="AM8" s="229"/>
      <c r="AN8" s="1"/>
      <c r="AO8" s="256"/>
      <c r="AP8" s="153"/>
      <c r="AQ8" s="153"/>
      <c r="AR8" s="153"/>
      <c r="AS8" s="153"/>
      <c r="AT8" s="257"/>
      <c r="AU8" s="1"/>
      <c r="AV8" s="1"/>
      <c r="AW8" s="1"/>
      <c r="AX8" s="1"/>
      <c r="AY8" s="1"/>
      <c r="AZ8" s="1"/>
      <c r="BA8" s="1"/>
      <c r="BB8" s="1"/>
      <c r="BC8" s="1"/>
      <c r="BD8" s="1"/>
      <c r="BE8" s="1"/>
      <c r="BF8" s="1"/>
      <c r="BG8" s="1"/>
      <c r="BH8" s="1"/>
      <c r="BI8" s="1"/>
    </row>
    <row r="9" spans="1:61" ht="15" customHeight="1" x14ac:dyDescent="0.2">
      <c r="A9" s="1"/>
      <c r="B9" s="273"/>
      <c r="C9" s="153"/>
      <c r="D9" s="154"/>
      <c r="E9" s="165"/>
      <c r="F9" s="153"/>
      <c r="G9" s="153"/>
      <c r="H9" s="153"/>
      <c r="I9" s="154"/>
      <c r="J9" s="234"/>
      <c r="K9" s="235"/>
      <c r="L9" s="230"/>
      <c r="M9" s="235"/>
      <c r="N9" s="230"/>
      <c r="O9" s="231"/>
      <c r="P9" s="234"/>
      <c r="Q9" s="235"/>
      <c r="R9" s="230"/>
      <c r="S9" s="235"/>
      <c r="T9" s="230"/>
      <c r="U9" s="231"/>
      <c r="V9" s="234"/>
      <c r="W9" s="235"/>
      <c r="X9" s="230"/>
      <c r="Y9" s="235"/>
      <c r="Z9" s="230"/>
      <c r="AA9" s="231"/>
      <c r="AB9" s="234"/>
      <c r="AC9" s="235"/>
      <c r="AD9" s="230"/>
      <c r="AE9" s="235"/>
      <c r="AF9" s="230"/>
      <c r="AG9" s="231"/>
      <c r="AH9" s="234"/>
      <c r="AI9" s="235"/>
      <c r="AJ9" s="230"/>
      <c r="AK9" s="235"/>
      <c r="AL9" s="230"/>
      <c r="AM9" s="231"/>
      <c r="AN9" s="1"/>
      <c r="AO9" s="256"/>
      <c r="AP9" s="153"/>
      <c r="AQ9" s="153"/>
      <c r="AR9" s="153"/>
      <c r="AS9" s="153"/>
      <c r="AT9" s="257"/>
      <c r="AU9" s="1"/>
      <c r="AV9" s="1"/>
      <c r="AW9" s="1"/>
      <c r="AX9" s="1"/>
      <c r="AY9" s="1"/>
      <c r="AZ9" s="1"/>
      <c r="BA9" s="1"/>
      <c r="BB9" s="1"/>
      <c r="BC9" s="1"/>
      <c r="BD9" s="1"/>
      <c r="BE9" s="1"/>
      <c r="BF9" s="1"/>
      <c r="BG9" s="1"/>
      <c r="BH9" s="1"/>
      <c r="BI9" s="1"/>
    </row>
    <row r="10" spans="1:61" ht="15" customHeight="1" x14ac:dyDescent="0.2">
      <c r="A10" s="1"/>
      <c r="B10" s="273"/>
      <c r="C10" s="153"/>
      <c r="D10" s="154"/>
      <c r="E10" s="165"/>
      <c r="F10" s="153"/>
      <c r="G10" s="153"/>
      <c r="H10" s="153"/>
      <c r="I10" s="154"/>
      <c r="J10" s="240" t="e">
        <f>IF(AND('Mapa final'!#REF!="Muy Alta",'Mapa final'!#REF!="Leve"),CONCATENATE("R",'Mapa final'!#REF!),"")</f>
        <v>#REF!</v>
      </c>
      <c r="K10" s="233"/>
      <c r="L10" s="228" t="e">
        <f>IF(AND('Mapa final'!#REF!="Muy Alta",'Mapa final'!#REF!="Leve"),CONCATENATE("R",'Mapa final'!#REF!),"")</f>
        <v>#REF!</v>
      </c>
      <c r="M10" s="233"/>
      <c r="N10" s="228" t="e">
        <f>IF(AND('Mapa final'!#REF!="Muy Alta",'Mapa final'!#REF!="Leve"),CONCATENATE("R",'Mapa final'!#REF!),"")</f>
        <v>#REF!</v>
      </c>
      <c r="O10" s="229"/>
      <c r="P10" s="240" t="e">
        <f>IF(AND('Mapa final'!#REF!="Muy Alta",'Mapa final'!#REF!="Menor"),CONCATENATE("R",'Mapa final'!#REF!),"")</f>
        <v>#REF!</v>
      </c>
      <c r="Q10" s="233"/>
      <c r="R10" s="228" t="e">
        <f>IF(AND('Mapa final'!#REF!="Muy Alta",'Mapa final'!#REF!="Menor"),CONCATENATE("R",'Mapa final'!#REF!),"")</f>
        <v>#REF!</v>
      </c>
      <c r="S10" s="233"/>
      <c r="T10" s="228" t="e">
        <f>IF(AND('Mapa final'!#REF!="Muy Alta",'Mapa final'!#REF!="Menor"),CONCATENATE("R",'Mapa final'!#REF!),"")</f>
        <v>#REF!</v>
      </c>
      <c r="U10" s="229"/>
      <c r="V10" s="240" t="e">
        <f>IF(AND('Mapa final'!#REF!="Muy Alta",'Mapa final'!#REF!="Moderado"),CONCATENATE("R",'Mapa final'!#REF!),"")</f>
        <v>#REF!</v>
      </c>
      <c r="W10" s="233"/>
      <c r="X10" s="228" t="e">
        <f>IF(AND('Mapa final'!#REF!="Muy Alta",'Mapa final'!#REF!="Moderado"),CONCATENATE("R",'Mapa final'!#REF!),"")</f>
        <v>#REF!</v>
      </c>
      <c r="Y10" s="233"/>
      <c r="Z10" s="228" t="e">
        <f>IF(AND('Mapa final'!#REF!="Muy Alta",'Mapa final'!#REF!="Moderado"),CONCATENATE("R",'Mapa final'!#REF!),"")</f>
        <v>#REF!</v>
      </c>
      <c r="AA10" s="229"/>
      <c r="AB10" s="240" t="e">
        <f>IF(AND('Mapa final'!#REF!="Muy Alta",'Mapa final'!#REF!="Mayor"),CONCATENATE("R",'Mapa final'!#REF!),"")</f>
        <v>#REF!</v>
      </c>
      <c r="AC10" s="233"/>
      <c r="AD10" s="228" t="e">
        <f>IF(AND('Mapa final'!#REF!="Muy Alta",'Mapa final'!#REF!="Mayor"),CONCATENATE("R",'Mapa final'!#REF!),"")</f>
        <v>#REF!</v>
      </c>
      <c r="AE10" s="233"/>
      <c r="AF10" s="228" t="e">
        <f>IF(AND('Mapa final'!#REF!="Muy Alta",'Mapa final'!#REF!="Mayor"),CONCATENATE("R",'Mapa final'!#REF!),"")</f>
        <v>#REF!</v>
      </c>
      <c r="AG10" s="229"/>
      <c r="AH10" s="232" t="e">
        <f>IF(AND('Mapa final'!#REF!="Muy Alta",'Mapa final'!#REF!="Catastrófico"),CONCATENATE("R",'Mapa final'!#REF!),"")</f>
        <v>#REF!</v>
      </c>
      <c r="AI10" s="233"/>
      <c r="AJ10" s="236" t="e">
        <f>IF(AND('Mapa final'!#REF!="Muy Alta",'Mapa final'!#REF!="Catastrófico"),CONCATENATE("R",'Mapa final'!#REF!),"")</f>
        <v>#REF!</v>
      </c>
      <c r="AK10" s="233"/>
      <c r="AL10" s="236" t="e">
        <f>IF(AND('Mapa final'!#REF!="Muy Alta",'Mapa final'!#REF!="Catastrófico"),CONCATENATE("R",'Mapa final'!#REF!),"")</f>
        <v>#REF!</v>
      </c>
      <c r="AM10" s="229"/>
      <c r="AN10" s="1"/>
      <c r="AO10" s="256"/>
      <c r="AP10" s="153"/>
      <c r="AQ10" s="153"/>
      <c r="AR10" s="153"/>
      <c r="AS10" s="153"/>
      <c r="AT10" s="257"/>
      <c r="AU10" s="1"/>
      <c r="AV10" s="1"/>
      <c r="AW10" s="1"/>
      <c r="AX10" s="1"/>
      <c r="AY10" s="1"/>
      <c r="AZ10" s="1"/>
      <c r="BA10" s="1"/>
      <c r="BB10" s="1"/>
      <c r="BC10" s="1"/>
      <c r="BD10" s="1"/>
      <c r="BE10" s="1"/>
      <c r="BF10" s="1"/>
      <c r="BG10" s="1"/>
      <c r="BH10" s="1"/>
      <c r="BI10" s="1"/>
    </row>
    <row r="11" spans="1:61" ht="15" customHeight="1" x14ac:dyDescent="0.2">
      <c r="A11" s="1"/>
      <c r="B11" s="273"/>
      <c r="C11" s="153"/>
      <c r="D11" s="154"/>
      <c r="E11" s="165"/>
      <c r="F11" s="153"/>
      <c r="G11" s="153"/>
      <c r="H11" s="153"/>
      <c r="I11" s="154"/>
      <c r="J11" s="234"/>
      <c r="K11" s="235"/>
      <c r="L11" s="230"/>
      <c r="M11" s="235"/>
      <c r="N11" s="230"/>
      <c r="O11" s="231"/>
      <c r="P11" s="234"/>
      <c r="Q11" s="235"/>
      <c r="R11" s="230"/>
      <c r="S11" s="235"/>
      <c r="T11" s="230"/>
      <c r="U11" s="231"/>
      <c r="V11" s="234"/>
      <c r="W11" s="235"/>
      <c r="X11" s="230"/>
      <c r="Y11" s="235"/>
      <c r="Z11" s="230"/>
      <c r="AA11" s="231"/>
      <c r="AB11" s="234"/>
      <c r="AC11" s="235"/>
      <c r="AD11" s="230"/>
      <c r="AE11" s="235"/>
      <c r="AF11" s="230"/>
      <c r="AG11" s="231"/>
      <c r="AH11" s="234"/>
      <c r="AI11" s="235"/>
      <c r="AJ11" s="230"/>
      <c r="AK11" s="235"/>
      <c r="AL11" s="230"/>
      <c r="AM11" s="231"/>
      <c r="AN11" s="1"/>
      <c r="AO11" s="256"/>
      <c r="AP11" s="153"/>
      <c r="AQ11" s="153"/>
      <c r="AR11" s="153"/>
      <c r="AS11" s="153"/>
      <c r="AT11" s="257"/>
      <c r="AU11" s="1"/>
      <c r="AV11" s="1"/>
      <c r="AW11" s="1"/>
      <c r="AX11" s="1"/>
      <c r="AY11" s="1"/>
      <c r="AZ11" s="1"/>
      <c r="BA11" s="1"/>
      <c r="BB11" s="1"/>
      <c r="BC11" s="1"/>
      <c r="BD11" s="1"/>
      <c r="BE11" s="1"/>
      <c r="BF11" s="1"/>
      <c r="BG11" s="1"/>
      <c r="BH11" s="1"/>
      <c r="BI11" s="1"/>
    </row>
    <row r="12" spans="1:61" ht="15" customHeight="1" x14ac:dyDescent="0.2">
      <c r="A12" s="1"/>
      <c r="B12" s="273"/>
      <c r="C12" s="153"/>
      <c r="D12" s="154"/>
      <c r="E12" s="165"/>
      <c r="F12" s="153"/>
      <c r="G12" s="153"/>
      <c r="H12" s="153"/>
      <c r="I12" s="154"/>
      <c r="J12" s="240" t="e">
        <f>IF(AND('Mapa final'!#REF!="Muy Alta",'Mapa final'!#REF!="Leve"),CONCATENATE("R",'Mapa final'!#REF!),"")</f>
        <v>#REF!</v>
      </c>
      <c r="K12" s="233"/>
      <c r="L12" s="228" t="e">
        <f>IF(AND('Mapa final'!#REF!="Muy Alta",'Mapa final'!#REF!="Leve"),CONCATENATE("R",'Mapa final'!#REF!),"")</f>
        <v>#REF!</v>
      </c>
      <c r="M12" s="233"/>
      <c r="N12" s="228" t="e">
        <f>IF(AND('Mapa final'!#REF!="Muy Alta",'Mapa final'!#REF!="Leve"),CONCATENATE("R",'Mapa final'!#REF!),"")</f>
        <v>#REF!</v>
      </c>
      <c r="O12" s="229"/>
      <c r="P12" s="240" t="e">
        <f>IF(AND('Mapa final'!#REF!="Muy Alta",'Mapa final'!#REF!="Menor"),CONCATENATE("R",'Mapa final'!#REF!),"")</f>
        <v>#REF!</v>
      </c>
      <c r="Q12" s="233"/>
      <c r="R12" s="228" t="e">
        <f>IF(AND('Mapa final'!#REF!="Muy Alta",'Mapa final'!#REF!="Menor"),CONCATENATE("R",'Mapa final'!#REF!),"")</f>
        <v>#REF!</v>
      </c>
      <c r="S12" s="233"/>
      <c r="T12" s="228" t="e">
        <f>IF(AND('Mapa final'!#REF!="Muy Alta",'Mapa final'!#REF!="Menor"),CONCATENATE("R",'Mapa final'!#REF!),"")</f>
        <v>#REF!</v>
      </c>
      <c r="U12" s="229"/>
      <c r="V12" s="240" t="e">
        <f>IF(AND('Mapa final'!#REF!="Muy Alta",'Mapa final'!#REF!="Moderado"),CONCATENATE("R",'Mapa final'!#REF!),"")</f>
        <v>#REF!</v>
      </c>
      <c r="W12" s="233"/>
      <c r="X12" s="228" t="e">
        <f>IF(AND('Mapa final'!#REF!="Muy Alta",'Mapa final'!#REF!="Moderado"),CONCATENATE("R",'Mapa final'!#REF!),"")</f>
        <v>#REF!</v>
      </c>
      <c r="Y12" s="233"/>
      <c r="Z12" s="228" t="e">
        <f>IF(AND('Mapa final'!#REF!="Muy Alta",'Mapa final'!#REF!="Moderado"),CONCATENATE("R",'Mapa final'!#REF!),"")</f>
        <v>#REF!</v>
      </c>
      <c r="AA12" s="229"/>
      <c r="AB12" s="240" t="e">
        <f>IF(AND('Mapa final'!#REF!="Muy Alta",'Mapa final'!#REF!="Mayor"),CONCATENATE("R",'Mapa final'!#REF!),"")</f>
        <v>#REF!</v>
      </c>
      <c r="AC12" s="233"/>
      <c r="AD12" s="228" t="e">
        <f>IF(AND('Mapa final'!#REF!="Muy Alta",'Mapa final'!#REF!="Mayor"),CONCATENATE("R",'Mapa final'!#REF!),"")</f>
        <v>#REF!</v>
      </c>
      <c r="AE12" s="233"/>
      <c r="AF12" s="228" t="e">
        <f>IF(AND('Mapa final'!#REF!="Muy Alta",'Mapa final'!#REF!="Mayor"),CONCATENATE("R",'Mapa final'!#REF!),"")</f>
        <v>#REF!</v>
      </c>
      <c r="AG12" s="229"/>
      <c r="AH12" s="232" t="e">
        <f>IF(AND('Mapa final'!#REF!="Muy Alta",'Mapa final'!#REF!="Catastrófico"),CONCATENATE("R",'Mapa final'!#REF!),"")</f>
        <v>#REF!</v>
      </c>
      <c r="AI12" s="233"/>
      <c r="AJ12" s="236" t="e">
        <f>IF(AND('Mapa final'!#REF!="Muy Alta",'Mapa final'!#REF!="Catastrófico"),CONCATENATE("R",'Mapa final'!#REF!),"")</f>
        <v>#REF!</v>
      </c>
      <c r="AK12" s="233"/>
      <c r="AL12" s="236" t="e">
        <f>IF(AND('Mapa final'!#REF!="Muy Alta",'Mapa final'!#REF!="Catastrófico"),CONCATENATE("R",'Mapa final'!#REF!),"")</f>
        <v>#REF!</v>
      </c>
      <c r="AM12" s="229"/>
      <c r="AN12" s="1"/>
      <c r="AO12" s="256"/>
      <c r="AP12" s="153"/>
      <c r="AQ12" s="153"/>
      <c r="AR12" s="153"/>
      <c r="AS12" s="153"/>
      <c r="AT12" s="257"/>
      <c r="AU12" s="1"/>
      <c r="AV12" s="1"/>
      <c r="AW12" s="1"/>
      <c r="AX12" s="1"/>
      <c r="AY12" s="1"/>
      <c r="AZ12" s="1"/>
      <c r="BA12" s="1"/>
      <c r="BB12" s="1"/>
      <c r="BC12" s="1"/>
      <c r="BD12" s="1"/>
      <c r="BE12" s="1"/>
      <c r="BF12" s="1"/>
      <c r="BG12" s="1"/>
      <c r="BH12" s="1"/>
      <c r="BI12" s="1"/>
    </row>
    <row r="13" spans="1:61" ht="15.75" customHeight="1" x14ac:dyDescent="0.2">
      <c r="A13" s="1"/>
      <c r="B13" s="273"/>
      <c r="C13" s="153"/>
      <c r="D13" s="154"/>
      <c r="E13" s="242"/>
      <c r="F13" s="266"/>
      <c r="G13" s="266"/>
      <c r="H13" s="266"/>
      <c r="I13" s="245"/>
      <c r="J13" s="234"/>
      <c r="K13" s="235"/>
      <c r="L13" s="230"/>
      <c r="M13" s="235"/>
      <c r="N13" s="230"/>
      <c r="O13" s="231"/>
      <c r="P13" s="234"/>
      <c r="Q13" s="235"/>
      <c r="R13" s="230"/>
      <c r="S13" s="235"/>
      <c r="T13" s="230"/>
      <c r="U13" s="231"/>
      <c r="V13" s="234"/>
      <c r="W13" s="235"/>
      <c r="X13" s="230"/>
      <c r="Y13" s="235"/>
      <c r="Z13" s="230"/>
      <c r="AA13" s="231"/>
      <c r="AB13" s="234"/>
      <c r="AC13" s="235"/>
      <c r="AD13" s="230"/>
      <c r="AE13" s="235"/>
      <c r="AF13" s="230"/>
      <c r="AG13" s="231"/>
      <c r="AH13" s="242"/>
      <c r="AI13" s="243"/>
      <c r="AJ13" s="244"/>
      <c r="AK13" s="243"/>
      <c r="AL13" s="244"/>
      <c r="AM13" s="245"/>
      <c r="AN13" s="1"/>
      <c r="AO13" s="258"/>
      <c r="AP13" s="259"/>
      <c r="AQ13" s="259"/>
      <c r="AR13" s="259"/>
      <c r="AS13" s="259"/>
      <c r="AT13" s="260"/>
      <c r="AU13" s="1"/>
      <c r="AV13" s="1"/>
      <c r="AW13" s="1"/>
      <c r="AX13" s="1"/>
      <c r="AY13" s="1"/>
      <c r="AZ13" s="1"/>
      <c r="BA13" s="1"/>
      <c r="BB13" s="1"/>
      <c r="BC13" s="1"/>
      <c r="BD13" s="1"/>
      <c r="BE13" s="1"/>
      <c r="BF13" s="1"/>
      <c r="BG13" s="1"/>
      <c r="BH13" s="1"/>
      <c r="BI13" s="1"/>
    </row>
    <row r="14" spans="1:61" ht="15" customHeight="1" x14ac:dyDescent="0.2">
      <c r="A14" s="1"/>
      <c r="B14" s="273"/>
      <c r="C14" s="153"/>
      <c r="D14" s="154"/>
      <c r="E14" s="264" t="s">
        <v>91</v>
      </c>
      <c r="F14" s="265"/>
      <c r="G14" s="265"/>
      <c r="H14" s="265"/>
      <c r="I14" s="265"/>
      <c r="J14" s="248" t="str">
        <f ca="1">IF(AND('Mapa final'!$L$7="Alta",'Mapa final'!$AI$7="Leve"),CONCATENATE("R",'Mapa final'!$A$7),"")</f>
        <v/>
      </c>
      <c r="K14" s="238"/>
      <c r="L14" s="246" t="e">
        <f>IF(AND('Mapa final'!#REF!="Alta",'Mapa final'!#REF!="Leve"),CONCATENATE("R",'Mapa final'!#REF!),"")</f>
        <v>#REF!</v>
      </c>
      <c r="M14" s="238"/>
      <c r="N14" s="246" t="e">
        <f>IF(AND('Mapa final'!#REF!="Alta",'Mapa final'!#REF!="Leve"),CONCATENATE("R",'Mapa final'!#REF!),"")</f>
        <v>#REF!</v>
      </c>
      <c r="O14" s="247"/>
      <c r="P14" s="248" t="str">
        <f ca="1">IF(AND('Mapa final'!$L$7="Alta",'Mapa final'!$AI$7="Menor"),CONCATENATE("R",'Mapa final'!$A$7),"")</f>
        <v/>
      </c>
      <c r="Q14" s="238"/>
      <c r="R14" s="246" t="e">
        <f>IF(AND('Mapa final'!#REF!="Alta",'Mapa final'!#REF!="Menor"),CONCATENATE("R",'Mapa final'!#REF!),"")</f>
        <v>#REF!</v>
      </c>
      <c r="S14" s="238"/>
      <c r="T14" s="246" t="e">
        <f>IF(AND('Mapa final'!#REF!="Alta",'Mapa final'!#REF!="Menor"),CONCATENATE("R",'Mapa final'!#REF!),"")</f>
        <v>#REF!</v>
      </c>
      <c r="U14" s="247"/>
      <c r="V14" s="237" t="str">
        <f ca="1">IF(AND('Mapa final'!$L$7="Alta",'Mapa final'!$AI$7="Moderado"),CONCATENATE("R",'Mapa final'!$A$7),"")</f>
        <v/>
      </c>
      <c r="W14" s="238"/>
      <c r="X14" s="239" t="e">
        <f>IF(AND('Mapa final'!#REF!="Alta",'Mapa final'!#REF!="Moderado"),CONCATENATE("R",'Mapa final'!#REF!),"")</f>
        <v>#REF!</v>
      </c>
      <c r="Y14" s="238"/>
      <c r="Z14" s="239" t="e">
        <f>IF(AND('Mapa final'!#REF!="Alta",'Mapa final'!#REF!="Moderado"),CONCATENATE("R",'Mapa final'!#REF!),"")</f>
        <v>#REF!</v>
      </c>
      <c r="AA14" s="247"/>
      <c r="AB14" s="237" t="str">
        <f ca="1">IF(AND('Mapa final'!$L$7="Alta",'Mapa final'!$AI$7="Mayor"),CONCATENATE("R",'Mapa final'!$A$7),"")</f>
        <v/>
      </c>
      <c r="AC14" s="238"/>
      <c r="AD14" s="239" t="e">
        <f>IF(AND('Mapa final'!#REF!="Alta",'Mapa final'!#REF!="Mayor"),CONCATENATE("R",'Mapa final'!#REF!),"")</f>
        <v>#REF!</v>
      </c>
      <c r="AE14" s="238"/>
      <c r="AF14" s="239" t="e">
        <f>IF(AND('Mapa final'!#REF!="Alta",'Mapa final'!#REF!="Mayor"),CONCATENATE("R",'Mapa final'!#REF!),"")</f>
        <v>#REF!</v>
      </c>
      <c r="AG14" s="247"/>
      <c r="AH14" s="249" t="str">
        <f ca="1">IF(AND('Mapa final'!$L$7="Alta",'Mapa final'!$AI$7="Catastrófico"),CONCATENATE("R",'Mapa final'!$A$7),"")</f>
        <v>R1</v>
      </c>
      <c r="AI14" s="238"/>
      <c r="AJ14" s="241" t="e">
        <f>IF(AND('Mapa final'!#REF!="Alta",'Mapa final'!#REF!="Catastrófico"),CONCATENATE("R",'Mapa final'!#REF!),"")</f>
        <v>#REF!</v>
      </c>
      <c r="AK14" s="238"/>
      <c r="AL14" s="241" t="e">
        <f>IF(AND('Mapa final'!#REF!="Alta",'Mapa final'!#REF!="Catastrófico"),CONCATENATE("R",'Mapa final'!#REF!),"")</f>
        <v>#REF!</v>
      </c>
      <c r="AM14" s="247"/>
      <c r="AN14" s="1"/>
      <c r="AO14" s="261" t="s">
        <v>92</v>
      </c>
      <c r="AP14" s="254"/>
      <c r="AQ14" s="254"/>
      <c r="AR14" s="254"/>
      <c r="AS14" s="254"/>
      <c r="AT14" s="255"/>
      <c r="AU14" s="1"/>
      <c r="AV14" s="1"/>
      <c r="AW14" s="1"/>
      <c r="AX14" s="1"/>
      <c r="AY14" s="1"/>
      <c r="AZ14" s="1"/>
      <c r="BA14" s="1"/>
      <c r="BB14" s="1"/>
      <c r="BC14" s="1"/>
      <c r="BD14" s="1"/>
      <c r="BE14" s="1"/>
      <c r="BF14" s="1"/>
      <c r="BG14" s="1"/>
      <c r="BH14" s="1"/>
      <c r="BI14" s="1"/>
    </row>
    <row r="15" spans="1:61" ht="15" customHeight="1" x14ac:dyDescent="0.2">
      <c r="A15" s="1"/>
      <c r="B15" s="273"/>
      <c r="C15" s="153"/>
      <c r="D15" s="154"/>
      <c r="E15" s="165"/>
      <c r="F15" s="153"/>
      <c r="G15" s="153"/>
      <c r="H15" s="153"/>
      <c r="I15" s="153"/>
      <c r="J15" s="234"/>
      <c r="K15" s="235"/>
      <c r="L15" s="230"/>
      <c r="M15" s="235"/>
      <c r="N15" s="230"/>
      <c r="O15" s="231"/>
      <c r="P15" s="234"/>
      <c r="Q15" s="235"/>
      <c r="R15" s="230"/>
      <c r="S15" s="235"/>
      <c r="T15" s="230"/>
      <c r="U15" s="231"/>
      <c r="V15" s="234"/>
      <c r="W15" s="235"/>
      <c r="X15" s="230"/>
      <c r="Y15" s="235"/>
      <c r="Z15" s="230"/>
      <c r="AA15" s="231"/>
      <c r="AB15" s="234"/>
      <c r="AC15" s="235"/>
      <c r="AD15" s="230"/>
      <c r="AE15" s="235"/>
      <c r="AF15" s="230"/>
      <c r="AG15" s="231"/>
      <c r="AH15" s="234"/>
      <c r="AI15" s="235"/>
      <c r="AJ15" s="230"/>
      <c r="AK15" s="235"/>
      <c r="AL15" s="230"/>
      <c r="AM15" s="231"/>
      <c r="AN15" s="1"/>
      <c r="AO15" s="256"/>
      <c r="AP15" s="153"/>
      <c r="AQ15" s="153"/>
      <c r="AR15" s="153"/>
      <c r="AS15" s="153"/>
      <c r="AT15" s="257"/>
      <c r="AU15" s="1"/>
      <c r="AV15" s="1"/>
      <c r="AW15" s="1"/>
      <c r="AX15" s="1"/>
      <c r="AY15" s="1"/>
      <c r="AZ15" s="1"/>
      <c r="BA15" s="1"/>
      <c r="BB15" s="1"/>
      <c r="BC15" s="1"/>
      <c r="BD15" s="1"/>
      <c r="BE15" s="1"/>
      <c r="BF15" s="1"/>
      <c r="BG15" s="1"/>
      <c r="BH15" s="1"/>
      <c r="BI15" s="1"/>
    </row>
    <row r="16" spans="1:61" ht="15" customHeight="1" x14ac:dyDescent="0.2">
      <c r="A16" s="1"/>
      <c r="B16" s="273"/>
      <c r="C16" s="153"/>
      <c r="D16" s="154"/>
      <c r="E16" s="165"/>
      <c r="F16" s="153"/>
      <c r="G16" s="153"/>
      <c r="H16" s="153"/>
      <c r="I16" s="153"/>
      <c r="J16" s="252" t="e">
        <f>IF(AND('Mapa final'!#REF!="Alta",'Mapa final'!#REF!="Leve"),CONCATENATE("R",'Mapa final'!#REF!),"")</f>
        <v>#REF!</v>
      </c>
      <c r="K16" s="233"/>
      <c r="L16" s="251" t="e">
        <f>IF(AND('Mapa final'!#REF!="Alta",'Mapa final'!#REF!="Leve"),CONCATENATE("R",'Mapa final'!#REF!),"")</f>
        <v>#REF!</v>
      </c>
      <c r="M16" s="233"/>
      <c r="N16" s="251" t="e">
        <f>IF(AND('Mapa final'!#REF!="Alta",'Mapa final'!#REF!="Leve"),CONCATENATE("R",'Mapa final'!#REF!),"")</f>
        <v>#REF!</v>
      </c>
      <c r="O16" s="229"/>
      <c r="P16" s="252" t="e">
        <f>IF(AND('Mapa final'!#REF!="Alta",'Mapa final'!#REF!="Menor"),CONCATENATE("R",'Mapa final'!#REF!),"")</f>
        <v>#REF!</v>
      </c>
      <c r="Q16" s="233"/>
      <c r="R16" s="251" t="e">
        <f>IF(AND('Mapa final'!#REF!="Alta",'Mapa final'!#REF!="Menor"),CONCATENATE("R",'Mapa final'!#REF!),"")</f>
        <v>#REF!</v>
      </c>
      <c r="S16" s="233"/>
      <c r="T16" s="251" t="e">
        <f>IF(AND('Mapa final'!#REF!="Alta",'Mapa final'!#REF!="Menor"),CONCATENATE("R",'Mapa final'!#REF!),"")</f>
        <v>#REF!</v>
      </c>
      <c r="U16" s="229"/>
      <c r="V16" s="240" t="e">
        <f>IF(AND('Mapa final'!#REF!="Alta",'Mapa final'!#REF!="Moderado"),CONCATENATE("R",'Mapa final'!#REF!),"")</f>
        <v>#REF!</v>
      </c>
      <c r="W16" s="233"/>
      <c r="X16" s="228" t="e">
        <f>IF(AND('Mapa final'!#REF!="Alta",'Mapa final'!#REF!="Moderado"),CONCATENATE("R",'Mapa final'!#REF!),"")</f>
        <v>#REF!</v>
      </c>
      <c r="Y16" s="233"/>
      <c r="Z16" s="228" t="e">
        <f>IF(AND('Mapa final'!#REF!="Alta",'Mapa final'!#REF!="Moderado"),CONCATENATE("R",'Mapa final'!#REF!),"")</f>
        <v>#REF!</v>
      </c>
      <c r="AA16" s="229"/>
      <c r="AB16" s="240" t="e">
        <f>IF(AND('Mapa final'!#REF!="Alta",'Mapa final'!#REF!="Mayor"),CONCATENATE("R",'Mapa final'!#REF!),"")</f>
        <v>#REF!</v>
      </c>
      <c r="AC16" s="233"/>
      <c r="AD16" s="228" t="e">
        <f>IF(AND('Mapa final'!#REF!="Alta",'Mapa final'!#REF!="Mayor"),CONCATENATE("R",'Mapa final'!#REF!),"")</f>
        <v>#REF!</v>
      </c>
      <c r="AE16" s="233"/>
      <c r="AF16" s="228" t="e">
        <f>IF(AND('Mapa final'!#REF!="Alta",'Mapa final'!#REF!="Mayor"),CONCATENATE("R",'Mapa final'!#REF!),"")</f>
        <v>#REF!</v>
      </c>
      <c r="AG16" s="229"/>
      <c r="AH16" s="232" t="e">
        <f>IF(AND('Mapa final'!#REF!="Alta",'Mapa final'!#REF!="Catastrófico"),CONCATENATE("R",'Mapa final'!#REF!),"")</f>
        <v>#REF!</v>
      </c>
      <c r="AI16" s="233"/>
      <c r="AJ16" s="236" t="e">
        <f>IF(AND('Mapa final'!#REF!="Alta",'Mapa final'!#REF!="Catastrófico"),CONCATENATE("R",'Mapa final'!#REF!),"")</f>
        <v>#REF!</v>
      </c>
      <c r="AK16" s="233"/>
      <c r="AL16" s="236" t="e">
        <f>IF(AND('Mapa final'!#REF!="Alta",'Mapa final'!#REF!="Catastrófico"),CONCATENATE("R",'Mapa final'!#REF!),"")</f>
        <v>#REF!</v>
      </c>
      <c r="AM16" s="229"/>
      <c r="AN16" s="1"/>
      <c r="AO16" s="256"/>
      <c r="AP16" s="153"/>
      <c r="AQ16" s="153"/>
      <c r="AR16" s="153"/>
      <c r="AS16" s="153"/>
      <c r="AT16" s="257"/>
      <c r="AU16" s="1"/>
      <c r="AV16" s="1"/>
      <c r="AW16" s="1"/>
      <c r="AX16" s="1"/>
      <c r="AY16" s="1"/>
      <c r="AZ16" s="1"/>
      <c r="BA16" s="1"/>
      <c r="BB16" s="1"/>
      <c r="BC16" s="1"/>
      <c r="BD16" s="1"/>
      <c r="BE16" s="1"/>
      <c r="BF16" s="1"/>
      <c r="BG16" s="1"/>
      <c r="BH16" s="1"/>
      <c r="BI16" s="1"/>
    </row>
    <row r="17" spans="1:61" ht="15" customHeight="1" x14ac:dyDescent="0.2">
      <c r="A17" s="1"/>
      <c r="B17" s="273"/>
      <c r="C17" s="153"/>
      <c r="D17" s="154"/>
      <c r="E17" s="165"/>
      <c r="F17" s="153"/>
      <c r="G17" s="153"/>
      <c r="H17" s="153"/>
      <c r="I17" s="153"/>
      <c r="J17" s="234"/>
      <c r="K17" s="235"/>
      <c r="L17" s="230"/>
      <c r="M17" s="235"/>
      <c r="N17" s="230"/>
      <c r="O17" s="231"/>
      <c r="P17" s="234"/>
      <c r="Q17" s="235"/>
      <c r="R17" s="230"/>
      <c r="S17" s="235"/>
      <c r="T17" s="230"/>
      <c r="U17" s="231"/>
      <c r="V17" s="234"/>
      <c r="W17" s="235"/>
      <c r="X17" s="230"/>
      <c r="Y17" s="235"/>
      <c r="Z17" s="230"/>
      <c r="AA17" s="231"/>
      <c r="AB17" s="234"/>
      <c r="AC17" s="235"/>
      <c r="AD17" s="230"/>
      <c r="AE17" s="235"/>
      <c r="AF17" s="230"/>
      <c r="AG17" s="231"/>
      <c r="AH17" s="234"/>
      <c r="AI17" s="235"/>
      <c r="AJ17" s="230"/>
      <c r="AK17" s="235"/>
      <c r="AL17" s="230"/>
      <c r="AM17" s="231"/>
      <c r="AN17" s="1"/>
      <c r="AO17" s="256"/>
      <c r="AP17" s="153"/>
      <c r="AQ17" s="153"/>
      <c r="AR17" s="153"/>
      <c r="AS17" s="153"/>
      <c r="AT17" s="257"/>
      <c r="AU17" s="1"/>
      <c r="AV17" s="1"/>
      <c r="AW17" s="1"/>
      <c r="AX17" s="1"/>
      <c r="AY17" s="1"/>
      <c r="AZ17" s="1"/>
      <c r="BA17" s="1"/>
      <c r="BB17" s="1"/>
      <c r="BC17" s="1"/>
      <c r="BD17" s="1"/>
      <c r="BE17" s="1"/>
      <c r="BF17" s="1"/>
      <c r="BG17" s="1"/>
      <c r="BH17" s="1"/>
      <c r="BI17" s="1"/>
    </row>
    <row r="18" spans="1:61" ht="15" customHeight="1" x14ac:dyDescent="0.2">
      <c r="A18" s="1"/>
      <c r="B18" s="273"/>
      <c r="C18" s="153"/>
      <c r="D18" s="154"/>
      <c r="E18" s="165"/>
      <c r="F18" s="153"/>
      <c r="G18" s="153"/>
      <c r="H18" s="153"/>
      <c r="I18" s="153"/>
      <c r="J18" s="252" t="e">
        <f>IF(AND('Mapa final'!#REF!="Alta",'Mapa final'!#REF!="Leve"),CONCATENATE("R",'Mapa final'!#REF!),"")</f>
        <v>#REF!</v>
      </c>
      <c r="K18" s="233"/>
      <c r="L18" s="251" t="e">
        <f>IF(AND('Mapa final'!#REF!="Alta",'Mapa final'!#REF!="Leve"),CONCATENATE("R",'Mapa final'!#REF!),"")</f>
        <v>#REF!</v>
      </c>
      <c r="M18" s="233"/>
      <c r="N18" s="251" t="e">
        <f>IF(AND('Mapa final'!#REF!="Alta",'Mapa final'!#REF!="Leve"),CONCATENATE("R",'Mapa final'!#REF!),"")</f>
        <v>#REF!</v>
      </c>
      <c r="O18" s="229"/>
      <c r="P18" s="252" t="e">
        <f>IF(AND('Mapa final'!#REF!="Alta",'Mapa final'!#REF!="Menor"),CONCATENATE("R",'Mapa final'!#REF!),"")</f>
        <v>#REF!</v>
      </c>
      <c r="Q18" s="233"/>
      <c r="R18" s="251" t="e">
        <f>IF(AND('Mapa final'!#REF!="Alta",'Mapa final'!#REF!="Menor"),CONCATENATE("R",'Mapa final'!#REF!),"")</f>
        <v>#REF!</v>
      </c>
      <c r="S18" s="233"/>
      <c r="T18" s="251" t="e">
        <f>IF(AND('Mapa final'!#REF!="Alta",'Mapa final'!#REF!="Menor"),CONCATENATE("R",'Mapa final'!#REF!),"")</f>
        <v>#REF!</v>
      </c>
      <c r="U18" s="229"/>
      <c r="V18" s="240" t="e">
        <f>IF(AND('Mapa final'!#REF!="Alta",'Mapa final'!#REF!="Moderado"),CONCATENATE("R",'Mapa final'!#REF!),"")</f>
        <v>#REF!</v>
      </c>
      <c r="W18" s="233"/>
      <c r="X18" s="228" t="e">
        <f>IF(AND('Mapa final'!#REF!="Alta",'Mapa final'!#REF!="Moderado"),CONCATENATE("R",'Mapa final'!#REF!),"")</f>
        <v>#REF!</v>
      </c>
      <c r="Y18" s="233"/>
      <c r="Z18" s="228" t="e">
        <f>IF(AND('Mapa final'!#REF!="Alta",'Mapa final'!#REF!="Moderado"),CONCATENATE("R",'Mapa final'!#REF!),"")</f>
        <v>#REF!</v>
      </c>
      <c r="AA18" s="229"/>
      <c r="AB18" s="240" t="e">
        <f>IF(AND('Mapa final'!#REF!="Alta",'Mapa final'!#REF!="Mayor"),CONCATENATE("R",'Mapa final'!#REF!),"")</f>
        <v>#REF!</v>
      </c>
      <c r="AC18" s="233"/>
      <c r="AD18" s="228" t="e">
        <f>IF(AND('Mapa final'!#REF!="Alta",'Mapa final'!#REF!="Mayor"),CONCATENATE("R",'Mapa final'!#REF!),"")</f>
        <v>#REF!</v>
      </c>
      <c r="AE18" s="233"/>
      <c r="AF18" s="228" t="e">
        <f>IF(AND('Mapa final'!#REF!="Alta",'Mapa final'!#REF!="Mayor"),CONCATENATE("R",'Mapa final'!#REF!),"")</f>
        <v>#REF!</v>
      </c>
      <c r="AG18" s="229"/>
      <c r="AH18" s="232" t="e">
        <f>IF(AND('Mapa final'!#REF!="Alta",'Mapa final'!#REF!="Catastrófico"),CONCATENATE("R",'Mapa final'!#REF!),"")</f>
        <v>#REF!</v>
      </c>
      <c r="AI18" s="233"/>
      <c r="AJ18" s="236" t="e">
        <f>IF(AND('Mapa final'!#REF!="Alta",'Mapa final'!#REF!="Catastrófico"),CONCATENATE("R",'Mapa final'!#REF!),"")</f>
        <v>#REF!</v>
      </c>
      <c r="AK18" s="233"/>
      <c r="AL18" s="236" t="e">
        <f>IF(AND('Mapa final'!#REF!="Alta",'Mapa final'!#REF!="Catastrófico"),CONCATENATE("R",'Mapa final'!#REF!),"")</f>
        <v>#REF!</v>
      </c>
      <c r="AM18" s="229"/>
      <c r="AN18" s="1"/>
      <c r="AO18" s="256"/>
      <c r="AP18" s="153"/>
      <c r="AQ18" s="153"/>
      <c r="AR18" s="153"/>
      <c r="AS18" s="153"/>
      <c r="AT18" s="257"/>
      <c r="AU18" s="1"/>
      <c r="AV18" s="1"/>
      <c r="AW18" s="1"/>
      <c r="AX18" s="1"/>
      <c r="AY18" s="1"/>
      <c r="AZ18" s="1"/>
      <c r="BA18" s="1"/>
      <c r="BB18" s="1"/>
      <c r="BC18" s="1"/>
      <c r="BD18" s="1"/>
      <c r="BE18" s="1"/>
      <c r="BF18" s="1"/>
      <c r="BG18" s="1"/>
      <c r="BH18" s="1"/>
      <c r="BI18" s="1"/>
    </row>
    <row r="19" spans="1:61" ht="15" customHeight="1" x14ac:dyDescent="0.2">
      <c r="A19" s="1"/>
      <c r="B19" s="273"/>
      <c r="C19" s="153"/>
      <c r="D19" s="154"/>
      <c r="E19" s="165"/>
      <c r="F19" s="153"/>
      <c r="G19" s="153"/>
      <c r="H19" s="153"/>
      <c r="I19" s="153"/>
      <c r="J19" s="234"/>
      <c r="K19" s="235"/>
      <c r="L19" s="230"/>
      <c r="M19" s="235"/>
      <c r="N19" s="230"/>
      <c r="O19" s="231"/>
      <c r="P19" s="234"/>
      <c r="Q19" s="235"/>
      <c r="R19" s="230"/>
      <c r="S19" s="235"/>
      <c r="T19" s="230"/>
      <c r="U19" s="231"/>
      <c r="V19" s="234"/>
      <c r="W19" s="235"/>
      <c r="X19" s="230"/>
      <c r="Y19" s="235"/>
      <c r="Z19" s="230"/>
      <c r="AA19" s="231"/>
      <c r="AB19" s="234"/>
      <c r="AC19" s="235"/>
      <c r="AD19" s="230"/>
      <c r="AE19" s="235"/>
      <c r="AF19" s="230"/>
      <c r="AG19" s="231"/>
      <c r="AH19" s="234"/>
      <c r="AI19" s="235"/>
      <c r="AJ19" s="230"/>
      <c r="AK19" s="235"/>
      <c r="AL19" s="230"/>
      <c r="AM19" s="231"/>
      <c r="AN19" s="1"/>
      <c r="AO19" s="256"/>
      <c r="AP19" s="153"/>
      <c r="AQ19" s="153"/>
      <c r="AR19" s="153"/>
      <c r="AS19" s="153"/>
      <c r="AT19" s="257"/>
      <c r="AU19" s="1"/>
      <c r="AV19" s="1"/>
      <c r="AW19" s="1"/>
      <c r="AX19" s="1"/>
      <c r="AY19" s="1"/>
      <c r="AZ19" s="1"/>
      <c r="BA19" s="1"/>
      <c r="BB19" s="1"/>
      <c r="BC19" s="1"/>
      <c r="BD19" s="1"/>
      <c r="BE19" s="1"/>
      <c r="BF19" s="1"/>
      <c r="BG19" s="1"/>
      <c r="BH19" s="1"/>
      <c r="BI19" s="1"/>
    </row>
    <row r="20" spans="1:61" ht="15" customHeight="1" x14ac:dyDescent="0.2">
      <c r="A20" s="1"/>
      <c r="B20" s="273"/>
      <c r="C20" s="153"/>
      <c r="D20" s="154"/>
      <c r="E20" s="165"/>
      <c r="F20" s="153"/>
      <c r="G20" s="153"/>
      <c r="H20" s="153"/>
      <c r="I20" s="153"/>
      <c r="J20" s="252" t="e">
        <f>IF(AND('Mapa final'!#REF!="Alta",'Mapa final'!#REF!="Leve"),CONCATENATE("R",'Mapa final'!#REF!),"")</f>
        <v>#REF!</v>
      </c>
      <c r="K20" s="233"/>
      <c r="L20" s="251" t="e">
        <f>IF(AND('Mapa final'!#REF!="Alta",'Mapa final'!#REF!="Leve"),CONCATENATE("R",'Mapa final'!#REF!),"")</f>
        <v>#REF!</v>
      </c>
      <c r="M20" s="233"/>
      <c r="N20" s="251" t="e">
        <f>IF(AND('Mapa final'!#REF!="Alta",'Mapa final'!#REF!="Leve"),CONCATENATE("R",'Mapa final'!#REF!),"")</f>
        <v>#REF!</v>
      </c>
      <c r="O20" s="229"/>
      <c r="P20" s="252" t="e">
        <f>IF(AND('Mapa final'!#REF!="Alta",'Mapa final'!#REF!="Menor"),CONCATENATE("R",'Mapa final'!#REF!),"")</f>
        <v>#REF!</v>
      </c>
      <c r="Q20" s="233"/>
      <c r="R20" s="251" t="e">
        <f>IF(AND('Mapa final'!#REF!="Alta",'Mapa final'!#REF!="Menor"),CONCATENATE("R",'Mapa final'!#REF!),"")</f>
        <v>#REF!</v>
      </c>
      <c r="S20" s="233"/>
      <c r="T20" s="251" t="e">
        <f>IF(AND('Mapa final'!#REF!="Alta",'Mapa final'!#REF!="Menor"),CONCATENATE("R",'Mapa final'!#REF!),"")</f>
        <v>#REF!</v>
      </c>
      <c r="U20" s="229"/>
      <c r="V20" s="240" t="e">
        <f>IF(AND('Mapa final'!#REF!="Alta",'Mapa final'!#REF!="Moderado"),CONCATENATE("R",'Mapa final'!#REF!),"")</f>
        <v>#REF!</v>
      </c>
      <c r="W20" s="233"/>
      <c r="X20" s="228" t="e">
        <f>IF(AND('Mapa final'!#REF!="Alta",'Mapa final'!#REF!="Moderado"),CONCATENATE("R",'Mapa final'!#REF!),"")</f>
        <v>#REF!</v>
      </c>
      <c r="Y20" s="233"/>
      <c r="Z20" s="228" t="e">
        <f>IF(AND('Mapa final'!#REF!="Alta",'Mapa final'!#REF!="Moderado"),CONCATENATE("R",'Mapa final'!#REF!),"")</f>
        <v>#REF!</v>
      </c>
      <c r="AA20" s="229"/>
      <c r="AB20" s="240" t="e">
        <f>IF(AND('Mapa final'!#REF!="Alta",'Mapa final'!#REF!="Mayor"),CONCATENATE("R",'Mapa final'!#REF!),"")</f>
        <v>#REF!</v>
      </c>
      <c r="AC20" s="233"/>
      <c r="AD20" s="228" t="e">
        <f>IF(AND('Mapa final'!#REF!="Alta",'Mapa final'!#REF!="Mayor"),CONCATENATE("R",'Mapa final'!#REF!),"")</f>
        <v>#REF!</v>
      </c>
      <c r="AE20" s="233"/>
      <c r="AF20" s="228" t="e">
        <f>IF(AND('Mapa final'!#REF!="Alta",'Mapa final'!#REF!="Mayor"),CONCATENATE("R",'Mapa final'!#REF!),"")</f>
        <v>#REF!</v>
      </c>
      <c r="AG20" s="229"/>
      <c r="AH20" s="232" t="e">
        <f>IF(AND('Mapa final'!#REF!="Alta",'Mapa final'!#REF!="Catastrófico"),CONCATENATE("R",'Mapa final'!#REF!),"")</f>
        <v>#REF!</v>
      </c>
      <c r="AI20" s="233"/>
      <c r="AJ20" s="236" t="e">
        <f>IF(AND('Mapa final'!#REF!="Alta",'Mapa final'!#REF!="Catastrófico"),CONCATENATE("R",'Mapa final'!#REF!),"")</f>
        <v>#REF!</v>
      </c>
      <c r="AK20" s="233"/>
      <c r="AL20" s="236" t="e">
        <f>IF(AND('Mapa final'!#REF!="Alta",'Mapa final'!#REF!="Catastrófico"),CONCATENATE("R",'Mapa final'!#REF!),"")</f>
        <v>#REF!</v>
      </c>
      <c r="AM20" s="229"/>
      <c r="AN20" s="1"/>
      <c r="AO20" s="256"/>
      <c r="AP20" s="153"/>
      <c r="AQ20" s="153"/>
      <c r="AR20" s="153"/>
      <c r="AS20" s="153"/>
      <c r="AT20" s="257"/>
      <c r="AU20" s="1"/>
      <c r="AV20" s="1"/>
      <c r="AW20" s="1"/>
      <c r="AX20" s="1"/>
      <c r="AY20" s="1"/>
      <c r="AZ20" s="1"/>
      <c r="BA20" s="1"/>
      <c r="BB20" s="1"/>
      <c r="BC20" s="1"/>
      <c r="BD20" s="1"/>
      <c r="BE20" s="1"/>
      <c r="BF20" s="1"/>
      <c r="BG20" s="1"/>
      <c r="BH20" s="1"/>
      <c r="BI20" s="1"/>
    </row>
    <row r="21" spans="1:61" ht="15.75" customHeight="1" x14ac:dyDescent="0.2">
      <c r="A21" s="1"/>
      <c r="B21" s="273"/>
      <c r="C21" s="153"/>
      <c r="D21" s="154"/>
      <c r="E21" s="242"/>
      <c r="F21" s="266"/>
      <c r="G21" s="266"/>
      <c r="H21" s="266"/>
      <c r="I21" s="266"/>
      <c r="J21" s="242"/>
      <c r="K21" s="243"/>
      <c r="L21" s="244"/>
      <c r="M21" s="243"/>
      <c r="N21" s="244"/>
      <c r="O21" s="245"/>
      <c r="P21" s="242"/>
      <c r="Q21" s="243"/>
      <c r="R21" s="244"/>
      <c r="S21" s="243"/>
      <c r="T21" s="244"/>
      <c r="U21" s="245"/>
      <c r="V21" s="242"/>
      <c r="W21" s="243"/>
      <c r="X21" s="244"/>
      <c r="Y21" s="243"/>
      <c r="Z21" s="244"/>
      <c r="AA21" s="245"/>
      <c r="AB21" s="242"/>
      <c r="AC21" s="243"/>
      <c r="AD21" s="244"/>
      <c r="AE21" s="243"/>
      <c r="AF21" s="244"/>
      <c r="AG21" s="245"/>
      <c r="AH21" s="242"/>
      <c r="AI21" s="243"/>
      <c r="AJ21" s="244"/>
      <c r="AK21" s="243"/>
      <c r="AL21" s="244"/>
      <c r="AM21" s="245"/>
      <c r="AN21" s="1"/>
      <c r="AO21" s="258"/>
      <c r="AP21" s="259"/>
      <c r="AQ21" s="259"/>
      <c r="AR21" s="259"/>
      <c r="AS21" s="259"/>
      <c r="AT21" s="260"/>
      <c r="AU21" s="1"/>
      <c r="AV21" s="1"/>
      <c r="AW21" s="1"/>
      <c r="AX21" s="1"/>
      <c r="AY21" s="1"/>
      <c r="AZ21" s="1"/>
      <c r="BA21" s="1"/>
      <c r="BB21" s="1"/>
      <c r="BC21" s="1"/>
      <c r="BD21" s="1"/>
      <c r="BE21" s="1"/>
      <c r="BF21" s="1"/>
      <c r="BG21" s="1"/>
      <c r="BH21" s="1"/>
      <c r="BI21" s="1"/>
    </row>
    <row r="22" spans="1:61" ht="15.75" customHeight="1" x14ac:dyDescent="0.2">
      <c r="A22" s="1"/>
      <c r="B22" s="273"/>
      <c r="C22" s="153"/>
      <c r="D22" s="154"/>
      <c r="E22" s="264" t="s">
        <v>93</v>
      </c>
      <c r="F22" s="265"/>
      <c r="G22" s="265"/>
      <c r="H22" s="265"/>
      <c r="I22" s="247"/>
      <c r="J22" s="248" t="str">
        <f ca="1">IF(AND('Mapa final'!$L$7="Media",'Mapa final'!$AI$7="Leve"),CONCATENATE("R",'Mapa final'!$A$7),"")</f>
        <v/>
      </c>
      <c r="K22" s="238"/>
      <c r="L22" s="246" t="e">
        <f>IF(AND('Mapa final'!#REF!="Media",'Mapa final'!#REF!="Leve"),CONCATENATE("R",'Mapa final'!#REF!),"")</f>
        <v>#REF!</v>
      </c>
      <c r="M22" s="238"/>
      <c r="N22" s="246" t="e">
        <f>IF(AND('Mapa final'!#REF!="Media",'Mapa final'!#REF!="Leve"),CONCATENATE("R",'Mapa final'!#REF!),"")</f>
        <v>#REF!</v>
      </c>
      <c r="O22" s="247"/>
      <c r="P22" s="248" t="str">
        <f ca="1">IF(AND('Mapa final'!$L$7="Media",'Mapa final'!$AI$7="Menor"),CONCATENATE("R",'Mapa final'!$A$7),"")</f>
        <v/>
      </c>
      <c r="Q22" s="238"/>
      <c r="R22" s="246" t="e">
        <f>IF(AND('Mapa final'!#REF!="Media",'Mapa final'!#REF!="Menor"),CONCATENATE("R",'Mapa final'!#REF!),"")</f>
        <v>#REF!</v>
      </c>
      <c r="S22" s="238"/>
      <c r="T22" s="246" t="e">
        <f>IF(AND('Mapa final'!#REF!="Media",'Mapa final'!#REF!="Menor"),CONCATENATE("R",'Mapa final'!#REF!),"")</f>
        <v>#REF!</v>
      </c>
      <c r="U22" s="247"/>
      <c r="V22" s="248" t="str">
        <f ca="1">IF(AND('Mapa final'!$L$7="Media",'Mapa final'!$AI$7="Moderado"),CONCATENATE("R",'Mapa final'!$A$7),"")</f>
        <v/>
      </c>
      <c r="W22" s="238"/>
      <c r="X22" s="246" t="e">
        <f>IF(AND('Mapa final'!#REF!="Media",'Mapa final'!#REF!="Moderado"),CONCATENATE("R",'Mapa final'!#REF!),"")</f>
        <v>#REF!</v>
      </c>
      <c r="Y22" s="238"/>
      <c r="Z22" s="246" t="e">
        <f>IF(AND('Mapa final'!#REF!="Media",'Mapa final'!#REF!="Moderado"),CONCATENATE("R",'Mapa final'!#REF!),"")</f>
        <v>#REF!</v>
      </c>
      <c r="AA22" s="247"/>
      <c r="AB22" s="237" t="str">
        <f ca="1">IF(AND('Mapa final'!$L$7="Media",'Mapa final'!$AI$7="Mayor"),CONCATENATE("R",'Mapa final'!$A$7),"")</f>
        <v/>
      </c>
      <c r="AC22" s="238"/>
      <c r="AD22" s="239" t="e">
        <f>IF(AND('Mapa final'!#REF!="Media",'Mapa final'!#REF!="Mayor"),CONCATENATE("R",'Mapa final'!#REF!),"")</f>
        <v>#REF!</v>
      </c>
      <c r="AE22" s="238"/>
      <c r="AF22" s="239" t="e">
        <f>IF(AND('Mapa final'!#REF!="Media",'Mapa final'!#REF!="Mayor"),CONCATENATE("R",'Mapa final'!#REF!),"")</f>
        <v>#REF!</v>
      </c>
      <c r="AG22" s="247"/>
      <c r="AH22" s="249" t="str">
        <f ca="1">IF(AND('Mapa final'!$L$7="Media",'Mapa final'!$AI$7="Catastrófico"),CONCATENATE("R",'Mapa final'!$A$7),"")</f>
        <v/>
      </c>
      <c r="AI22" s="238"/>
      <c r="AJ22" s="241" t="e">
        <f>IF(AND('Mapa final'!#REF!="Media",'Mapa final'!#REF!="Catastrófico"),CONCATENATE("R",'Mapa final'!#REF!),"")</f>
        <v>#REF!</v>
      </c>
      <c r="AK22" s="238"/>
      <c r="AL22" s="241" t="e">
        <f>IF(AND('Mapa final'!#REF!="Media",'Mapa final'!#REF!="Catastrófico"),CONCATENATE("R",'Mapa final'!#REF!),"")</f>
        <v>#REF!</v>
      </c>
      <c r="AM22" s="247"/>
      <c r="AN22" s="1"/>
      <c r="AO22" s="262" t="s">
        <v>94</v>
      </c>
      <c r="AP22" s="254"/>
      <c r="AQ22" s="254"/>
      <c r="AR22" s="254"/>
      <c r="AS22" s="254"/>
      <c r="AT22" s="255"/>
      <c r="AU22" s="1"/>
      <c r="AV22" s="1"/>
      <c r="AW22" s="1"/>
      <c r="AX22" s="1"/>
      <c r="AY22" s="1"/>
      <c r="AZ22" s="1"/>
      <c r="BA22" s="1"/>
      <c r="BB22" s="1"/>
      <c r="BC22" s="1"/>
      <c r="BD22" s="1"/>
      <c r="BE22" s="1"/>
      <c r="BF22" s="1"/>
      <c r="BG22" s="1"/>
      <c r="BH22" s="1"/>
      <c r="BI22" s="1"/>
    </row>
    <row r="23" spans="1:61" ht="15.75" customHeight="1" x14ac:dyDescent="0.2">
      <c r="A23" s="1"/>
      <c r="B23" s="273"/>
      <c r="C23" s="153"/>
      <c r="D23" s="154"/>
      <c r="E23" s="165"/>
      <c r="F23" s="153"/>
      <c r="G23" s="153"/>
      <c r="H23" s="153"/>
      <c r="I23" s="154"/>
      <c r="J23" s="234"/>
      <c r="K23" s="235"/>
      <c r="L23" s="230"/>
      <c r="M23" s="235"/>
      <c r="N23" s="230"/>
      <c r="O23" s="231"/>
      <c r="P23" s="234"/>
      <c r="Q23" s="235"/>
      <c r="R23" s="230"/>
      <c r="S23" s="235"/>
      <c r="T23" s="230"/>
      <c r="U23" s="231"/>
      <c r="V23" s="234"/>
      <c r="W23" s="235"/>
      <c r="X23" s="230"/>
      <c r="Y23" s="235"/>
      <c r="Z23" s="230"/>
      <c r="AA23" s="231"/>
      <c r="AB23" s="234"/>
      <c r="AC23" s="235"/>
      <c r="AD23" s="230"/>
      <c r="AE23" s="235"/>
      <c r="AF23" s="230"/>
      <c r="AG23" s="231"/>
      <c r="AH23" s="234"/>
      <c r="AI23" s="235"/>
      <c r="AJ23" s="230"/>
      <c r="AK23" s="235"/>
      <c r="AL23" s="230"/>
      <c r="AM23" s="231"/>
      <c r="AN23" s="1"/>
      <c r="AO23" s="256"/>
      <c r="AP23" s="153"/>
      <c r="AQ23" s="153"/>
      <c r="AR23" s="153"/>
      <c r="AS23" s="153"/>
      <c r="AT23" s="257"/>
      <c r="AU23" s="1"/>
      <c r="AV23" s="1"/>
      <c r="AW23" s="1"/>
      <c r="AX23" s="1"/>
      <c r="AY23" s="1"/>
      <c r="AZ23" s="1"/>
      <c r="BA23" s="1"/>
      <c r="BB23" s="1"/>
      <c r="BC23" s="1"/>
      <c r="BD23" s="1"/>
      <c r="BE23" s="1"/>
      <c r="BF23" s="1"/>
      <c r="BG23" s="1"/>
      <c r="BH23" s="1"/>
      <c r="BI23" s="1"/>
    </row>
    <row r="24" spans="1:61" ht="15.75" customHeight="1" x14ac:dyDescent="0.2">
      <c r="A24" s="1"/>
      <c r="B24" s="273"/>
      <c r="C24" s="153"/>
      <c r="D24" s="154"/>
      <c r="E24" s="165"/>
      <c r="F24" s="153"/>
      <c r="G24" s="153"/>
      <c r="H24" s="153"/>
      <c r="I24" s="154"/>
      <c r="J24" s="252" t="e">
        <f>IF(AND('Mapa final'!#REF!="Media",'Mapa final'!#REF!="Leve"),CONCATENATE("R",'Mapa final'!#REF!),"")</f>
        <v>#REF!</v>
      </c>
      <c r="K24" s="233"/>
      <c r="L24" s="251" t="e">
        <f>IF(AND('Mapa final'!#REF!="Media",'Mapa final'!#REF!="Leve"),CONCATENATE("R",'Mapa final'!#REF!),"")</f>
        <v>#REF!</v>
      </c>
      <c r="M24" s="233"/>
      <c r="N24" s="251" t="e">
        <f>IF(AND('Mapa final'!#REF!="Media",'Mapa final'!#REF!="Leve"),CONCATENATE("R",'Mapa final'!#REF!),"")</f>
        <v>#REF!</v>
      </c>
      <c r="O24" s="229"/>
      <c r="P24" s="252" t="e">
        <f>IF(AND('Mapa final'!#REF!="Media",'Mapa final'!#REF!="Menor"),CONCATENATE("R",'Mapa final'!#REF!),"")</f>
        <v>#REF!</v>
      </c>
      <c r="Q24" s="233"/>
      <c r="R24" s="251" t="e">
        <f>IF(AND('Mapa final'!#REF!="Media",'Mapa final'!#REF!="Menor"),CONCATENATE("R",'Mapa final'!#REF!),"")</f>
        <v>#REF!</v>
      </c>
      <c r="S24" s="233"/>
      <c r="T24" s="251" t="e">
        <f>IF(AND('Mapa final'!#REF!="Media",'Mapa final'!#REF!="Menor"),CONCATENATE("R",'Mapa final'!#REF!),"")</f>
        <v>#REF!</v>
      </c>
      <c r="U24" s="229"/>
      <c r="V24" s="252" t="e">
        <f>IF(AND('Mapa final'!#REF!="Media",'Mapa final'!#REF!="Moderado"),CONCATENATE("R",'Mapa final'!#REF!),"")</f>
        <v>#REF!</v>
      </c>
      <c r="W24" s="233"/>
      <c r="X24" s="251" t="e">
        <f>IF(AND('Mapa final'!#REF!="Media",'Mapa final'!#REF!="Moderado"),CONCATENATE("R",'Mapa final'!#REF!),"")</f>
        <v>#REF!</v>
      </c>
      <c r="Y24" s="233"/>
      <c r="Z24" s="251" t="e">
        <f>IF(AND('Mapa final'!#REF!="Media",'Mapa final'!#REF!="Moderado"),CONCATENATE("R",'Mapa final'!#REF!),"")</f>
        <v>#REF!</v>
      </c>
      <c r="AA24" s="229"/>
      <c r="AB24" s="240" t="e">
        <f>IF(AND('Mapa final'!#REF!="Media",'Mapa final'!#REF!="Mayor"),CONCATENATE("R",'Mapa final'!#REF!),"")</f>
        <v>#REF!</v>
      </c>
      <c r="AC24" s="233"/>
      <c r="AD24" s="228" t="e">
        <f>IF(AND('Mapa final'!#REF!="Media",'Mapa final'!#REF!="Mayor"),CONCATENATE("R",'Mapa final'!#REF!),"")</f>
        <v>#REF!</v>
      </c>
      <c r="AE24" s="233"/>
      <c r="AF24" s="228" t="e">
        <f>IF(AND('Mapa final'!#REF!="Media",'Mapa final'!#REF!="Mayor"),CONCATENATE("R",'Mapa final'!#REF!),"")</f>
        <v>#REF!</v>
      </c>
      <c r="AG24" s="229"/>
      <c r="AH24" s="232" t="e">
        <f>IF(AND('Mapa final'!#REF!="Media",'Mapa final'!#REF!="Catastrófico"),CONCATENATE("R",'Mapa final'!#REF!),"")</f>
        <v>#REF!</v>
      </c>
      <c r="AI24" s="233"/>
      <c r="AJ24" s="236" t="e">
        <f>IF(AND('Mapa final'!#REF!="Media",'Mapa final'!#REF!="Catastrófico"),CONCATENATE("R",'Mapa final'!#REF!),"")</f>
        <v>#REF!</v>
      </c>
      <c r="AK24" s="233"/>
      <c r="AL24" s="236" t="e">
        <f>IF(AND('Mapa final'!#REF!="Media",'Mapa final'!#REF!="Catastrófico"),CONCATENATE("R",'Mapa final'!#REF!),"")</f>
        <v>#REF!</v>
      </c>
      <c r="AM24" s="229"/>
      <c r="AN24" s="1"/>
      <c r="AO24" s="256"/>
      <c r="AP24" s="153"/>
      <c r="AQ24" s="153"/>
      <c r="AR24" s="153"/>
      <c r="AS24" s="153"/>
      <c r="AT24" s="257"/>
      <c r="AU24" s="1"/>
      <c r="AV24" s="1"/>
      <c r="AW24" s="1"/>
      <c r="AX24" s="1"/>
      <c r="AY24" s="1"/>
      <c r="AZ24" s="1"/>
      <c r="BA24" s="1"/>
      <c r="BB24" s="1"/>
      <c r="BC24" s="1"/>
      <c r="BD24" s="1"/>
      <c r="BE24" s="1"/>
      <c r="BF24" s="1"/>
      <c r="BG24" s="1"/>
      <c r="BH24" s="1"/>
      <c r="BI24" s="1"/>
    </row>
    <row r="25" spans="1:61" ht="15.75" customHeight="1" x14ac:dyDescent="0.2">
      <c r="A25" s="1"/>
      <c r="B25" s="273"/>
      <c r="C25" s="153"/>
      <c r="D25" s="154"/>
      <c r="E25" s="165"/>
      <c r="F25" s="153"/>
      <c r="G25" s="153"/>
      <c r="H25" s="153"/>
      <c r="I25" s="154"/>
      <c r="J25" s="234"/>
      <c r="K25" s="235"/>
      <c r="L25" s="230"/>
      <c r="M25" s="235"/>
      <c r="N25" s="230"/>
      <c r="O25" s="231"/>
      <c r="P25" s="234"/>
      <c r="Q25" s="235"/>
      <c r="R25" s="230"/>
      <c r="S25" s="235"/>
      <c r="T25" s="230"/>
      <c r="U25" s="231"/>
      <c r="V25" s="234"/>
      <c r="W25" s="235"/>
      <c r="X25" s="230"/>
      <c r="Y25" s="235"/>
      <c r="Z25" s="230"/>
      <c r="AA25" s="231"/>
      <c r="AB25" s="234"/>
      <c r="AC25" s="235"/>
      <c r="AD25" s="230"/>
      <c r="AE25" s="235"/>
      <c r="AF25" s="230"/>
      <c r="AG25" s="231"/>
      <c r="AH25" s="234"/>
      <c r="AI25" s="235"/>
      <c r="AJ25" s="230"/>
      <c r="AK25" s="235"/>
      <c r="AL25" s="230"/>
      <c r="AM25" s="231"/>
      <c r="AN25" s="1"/>
      <c r="AO25" s="256"/>
      <c r="AP25" s="153"/>
      <c r="AQ25" s="153"/>
      <c r="AR25" s="153"/>
      <c r="AS25" s="153"/>
      <c r="AT25" s="257"/>
      <c r="AU25" s="1"/>
      <c r="AV25" s="1"/>
      <c r="AW25" s="1"/>
      <c r="AX25" s="1"/>
      <c r="AY25" s="1"/>
      <c r="AZ25" s="1"/>
      <c r="BA25" s="1"/>
      <c r="BB25" s="1"/>
      <c r="BC25" s="1"/>
      <c r="BD25" s="1"/>
      <c r="BE25" s="1"/>
      <c r="BF25" s="1"/>
      <c r="BG25" s="1"/>
      <c r="BH25" s="1"/>
      <c r="BI25" s="1"/>
    </row>
    <row r="26" spans="1:61" ht="15.75" customHeight="1" x14ac:dyDescent="0.2">
      <c r="A26" s="1"/>
      <c r="B26" s="273"/>
      <c r="C26" s="153"/>
      <c r="D26" s="154"/>
      <c r="E26" s="165"/>
      <c r="F26" s="153"/>
      <c r="G26" s="153"/>
      <c r="H26" s="153"/>
      <c r="I26" s="154"/>
      <c r="J26" s="252" t="e">
        <f>IF(AND('Mapa final'!#REF!="Media",'Mapa final'!#REF!="Leve"),CONCATENATE("R",'Mapa final'!#REF!),"")</f>
        <v>#REF!</v>
      </c>
      <c r="K26" s="233"/>
      <c r="L26" s="251" t="e">
        <f>IF(AND('Mapa final'!#REF!="Media",'Mapa final'!#REF!="Leve"),CONCATENATE("R",'Mapa final'!#REF!),"")</f>
        <v>#REF!</v>
      </c>
      <c r="M26" s="233"/>
      <c r="N26" s="251" t="e">
        <f>IF(AND('Mapa final'!#REF!="Media",'Mapa final'!#REF!="Leve"),CONCATENATE("R",'Mapa final'!#REF!),"")</f>
        <v>#REF!</v>
      </c>
      <c r="O26" s="229"/>
      <c r="P26" s="252" t="e">
        <f>IF(AND('Mapa final'!#REF!="Media",'Mapa final'!#REF!="Menor"),CONCATENATE("R",'Mapa final'!#REF!),"")</f>
        <v>#REF!</v>
      </c>
      <c r="Q26" s="233"/>
      <c r="R26" s="251" t="e">
        <f>IF(AND('Mapa final'!#REF!="Media",'Mapa final'!#REF!="Menor"),CONCATENATE("R",'Mapa final'!#REF!),"")</f>
        <v>#REF!</v>
      </c>
      <c r="S26" s="233"/>
      <c r="T26" s="251" t="e">
        <f>IF(AND('Mapa final'!#REF!="Media",'Mapa final'!#REF!="Menor"),CONCATENATE("R",'Mapa final'!#REF!),"")</f>
        <v>#REF!</v>
      </c>
      <c r="U26" s="229"/>
      <c r="V26" s="252" t="e">
        <f>IF(AND('Mapa final'!#REF!="Media",'Mapa final'!#REF!="Moderado"),CONCATENATE("R",'Mapa final'!#REF!),"")</f>
        <v>#REF!</v>
      </c>
      <c r="W26" s="233"/>
      <c r="X26" s="251" t="e">
        <f>IF(AND('Mapa final'!#REF!="Media",'Mapa final'!#REF!="Moderado"),CONCATENATE("R",'Mapa final'!#REF!),"")</f>
        <v>#REF!</v>
      </c>
      <c r="Y26" s="233"/>
      <c r="Z26" s="251" t="e">
        <f>IF(AND('Mapa final'!#REF!="Media",'Mapa final'!#REF!="Moderado"),CONCATENATE("R",'Mapa final'!#REF!),"")</f>
        <v>#REF!</v>
      </c>
      <c r="AA26" s="229"/>
      <c r="AB26" s="240" t="e">
        <f>IF(AND('Mapa final'!#REF!="Media",'Mapa final'!#REF!="Mayor"),CONCATENATE("R",'Mapa final'!#REF!),"")</f>
        <v>#REF!</v>
      </c>
      <c r="AC26" s="233"/>
      <c r="AD26" s="228" t="e">
        <f>IF(AND('Mapa final'!#REF!="Media",'Mapa final'!#REF!="Mayor"),CONCATENATE("R",'Mapa final'!#REF!),"")</f>
        <v>#REF!</v>
      </c>
      <c r="AE26" s="233"/>
      <c r="AF26" s="228" t="e">
        <f>IF(AND('Mapa final'!#REF!="Media",'Mapa final'!#REF!="Mayor"),CONCATENATE("R",'Mapa final'!#REF!),"")</f>
        <v>#REF!</v>
      </c>
      <c r="AG26" s="229"/>
      <c r="AH26" s="232" t="e">
        <f>IF(AND('Mapa final'!#REF!="Media",'Mapa final'!#REF!="Catastrófico"),CONCATENATE("R",'Mapa final'!#REF!),"")</f>
        <v>#REF!</v>
      </c>
      <c r="AI26" s="233"/>
      <c r="AJ26" s="236" t="e">
        <f>IF(AND('Mapa final'!#REF!="Media",'Mapa final'!#REF!="Catastrófico"),CONCATENATE("R",'Mapa final'!#REF!),"")</f>
        <v>#REF!</v>
      </c>
      <c r="AK26" s="233"/>
      <c r="AL26" s="236" t="e">
        <f>IF(AND('Mapa final'!#REF!="Media",'Mapa final'!#REF!="Catastrófico"),CONCATENATE("R",'Mapa final'!#REF!),"")</f>
        <v>#REF!</v>
      </c>
      <c r="AM26" s="229"/>
      <c r="AN26" s="1"/>
      <c r="AO26" s="256"/>
      <c r="AP26" s="153"/>
      <c r="AQ26" s="153"/>
      <c r="AR26" s="153"/>
      <c r="AS26" s="153"/>
      <c r="AT26" s="257"/>
      <c r="AU26" s="1"/>
      <c r="AV26" s="1"/>
      <c r="AW26" s="1"/>
      <c r="AX26" s="1"/>
      <c r="AY26" s="1"/>
      <c r="AZ26" s="1"/>
      <c r="BA26" s="1"/>
      <c r="BB26" s="1"/>
      <c r="BC26" s="1"/>
      <c r="BD26" s="1"/>
      <c r="BE26" s="1"/>
      <c r="BF26" s="1"/>
      <c r="BG26" s="1"/>
      <c r="BH26" s="1"/>
      <c r="BI26" s="1"/>
    </row>
    <row r="27" spans="1:61" ht="15.75" customHeight="1" x14ac:dyDescent="0.2">
      <c r="A27" s="1"/>
      <c r="B27" s="273"/>
      <c r="C27" s="153"/>
      <c r="D27" s="154"/>
      <c r="E27" s="165"/>
      <c r="F27" s="153"/>
      <c r="G27" s="153"/>
      <c r="H27" s="153"/>
      <c r="I27" s="154"/>
      <c r="J27" s="234"/>
      <c r="K27" s="235"/>
      <c r="L27" s="230"/>
      <c r="M27" s="235"/>
      <c r="N27" s="230"/>
      <c r="O27" s="231"/>
      <c r="P27" s="234"/>
      <c r="Q27" s="235"/>
      <c r="R27" s="230"/>
      <c r="S27" s="235"/>
      <c r="T27" s="230"/>
      <c r="U27" s="231"/>
      <c r="V27" s="234"/>
      <c r="W27" s="235"/>
      <c r="X27" s="230"/>
      <c r="Y27" s="235"/>
      <c r="Z27" s="230"/>
      <c r="AA27" s="231"/>
      <c r="AB27" s="234"/>
      <c r="AC27" s="235"/>
      <c r="AD27" s="230"/>
      <c r="AE27" s="235"/>
      <c r="AF27" s="230"/>
      <c r="AG27" s="231"/>
      <c r="AH27" s="234"/>
      <c r="AI27" s="235"/>
      <c r="AJ27" s="230"/>
      <c r="AK27" s="235"/>
      <c r="AL27" s="230"/>
      <c r="AM27" s="231"/>
      <c r="AN27" s="1"/>
      <c r="AO27" s="256"/>
      <c r="AP27" s="153"/>
      <c r="AQ27" s="153"/>
      <c r="AR27" s="153"/>
      <c r="AS27" s="153"/>
      <c r="AT27" s="257"/>
      <c r="AU27" s="1"/>
      <c r="AV27" s="1"/>
      <c r="AW27" s="1"/>
      <c r="AX27" s="1"/>
      <c r="AY27" s="1"/>
      <c r="AZ27" s="1"/>
      <c r="BA27" s="1"/>
      <c r="BB27" s="1"/>
      <c r="BC27" s="1"/>
      <c r="BD27" s="1"/>
      <c r="BE27" s="1"/>
      <c r="BF27" s="1"/>
      <c r="BG27" s="1"/>
      <c r="BH27" s="1"/>
      <c r="BI27" s="1"/>
    </row>
    <row r="28" spans="1:61" ht="15.75" customHeight="1" x14ac:dyDescent="0.2">
      <c r="A28" s="1"/>
      <c r="B28" s="273"/>
      <c r="C28" s="153"/>
      <c r="D28" s="154"/>
      <c r="E28" s="165"/>
      <c r="F28" s="153"/>
      <c r="G28" s="153"/>
      <c r="H28" s="153"/>
      <c r="I28" s="154"/>
      <c r="J28" s="252" t="e">
        <f>IF(AND('Mapa final'!#REF!="Media",'Mapa final'!#REF!="Leve"),CONCATENATE("R",'Mapa final'!#REF!),"")</f>
        <v>#REF!</v>
      </c>
      <c r="K28" s="233"/>
      <c r="L28" s="251" t="e">
        <f>IF(AND('Mapa final'!#REF!="Media",'Mapa final'!#REF!="Leve"),CONCATENATE("R",'Mapa final'!#REF!),"")</f>
        <v>#REF!</v>
      </c>
      <c r="M28" s="233"/>
      <c r="N28" s="251" t="e">
        <f>IF(AND('Mapa final'!#REF!="Media",'Mapa final'!#REF!="Leve"),CONCATENATE("R",'Mapa final'!#REF!),"")</f>
        <v>#REF!</v>
      </c>
      <c r="O28" s="229"/>
      <c r="P28" s="252" t="e">
        <f>IF(AND('Mapa final'!#REF!="Media",'Mapa final'!#REF!="Menor"),CONCATENATE("R",'Mapa final'!#REF!),"")</f>
        <v>#REF!</v>
      </c>
      <c r="Q28" s="233"/>
      <c r="R28" s="251" t="e">
        <f>IF(AND('Mapa final'!#REF!="Media",'Mapa final'!#REF!="Menor"),CONCATENATE("R",'Mapa final'!#REF!),"")</f>
        <v>#REF!</v>
      </c>
      <c r="S28" s="233"/>
      <c r="T28" s="251" t="e">
        <f>IF(AND('Mapa final'!#REF!="Media",'Mapa final'!#REF!="Menor"),CONCATENATE("R",'Mapa final'!#REF!),"")</f>
        <v>#REF!</v>
      </c>
      <c r="U28" s="229"/>
      <c r="V28" s="252" t="e">
        <f>IF(AND('Mapa final'!#REF!="Media",'Mapa final'!#REF!="Moderado"),CONCATENATE("R",'Mapa final'!#REF!),"")</f>
        <v>#REF!</v>
      </c>
      <c r="W28" s="233"/>
      <c r="X28" s="251" t="e">
        <f>IF(AND('Mapa final'!#REF!="Media",'Mapa final'!#REF!="Moderado"),CONCATENATE("R",'Mapa final'!#REF!),"")</f>
        <v>#REF!</v>
      </c>
      <c r="Y28" s="233"/>
      <c r="Z28" s="251" t="e">
        <f>IF(AND('Mapa final'!#REF!="Media",'Mapa final'!#REF!="Moderado"),CONCATENATE("R",'Mapa final'!#REF!),"")</f>
        <v>#REF!</v>
      </c>
      <c r="AA28" s="229"/>
      <c r="AB28" s="240" t="e">
        <f>IF(AND('Mapa final'!#REF!="Media",'Mapa final'!#REF!="Mayor"),CONCATENATE("R",'Mapa final'!#REF!),"")</f>
        <v>#REF!</v>
      </c>
      <c r="AC28" s="233"/>
      <c r="AD28" s="228" t="e">
        <f>IF(AND('Mapa final'!#REF!="Media",'Mapa final'!#REF!="Mayor"),CONCATENATE("R",'Mapa final'!#REF!),"")</f>
        <v>#REF!</v>
      </c>
      <c r="AE28" s="233"/>
      <c r="AF28" s="228" t="e">
        <f>IF(AND('Mapa final'!#REF!="Media",'Mapa final'!#REF!="Mayor"),CONCATENATE("R",'Mapa final'!#REF!),"")</f>
        <v>#REF!</v>
      </c>
      <c r="AG28" s="229"/>
      <c r="AH28" s="232" t="e">
        <f>IF(AND('Mapa final'!#REF!="Media",'Mapa final'!#REF!="Catastrófico"),CONCATENATE("R",'Mapa final'!#REF!),"")</f>
        <v>#REF!</v>
      </c>
      <c r="AI28" s="233"/>
      <c r="AJ28" s="236" t="e">
        <f>IF(AND('Mapa final'!#REF!="Media",'Mapa final'!#REF!="Catastrófico"),CONCATENATE("R",'Mapa final'!#REF!),"")</f>
        <v>#REF!</v>
      </c>
      <c r="AK28" s="233"/>
      <c r="AL28" s="236" t="e">
        <f>IF(AND('Mapa final'!#REF!="Media",'Mapa final'!#REF!="Catastrófico"),CONCATENATE("R",'Mapa final'!#REF!),"")</f>
        <v>#REF!</v>
      </c>
      <c r="AM28" s="229"/>
      <c r="AN28" s="1"/>
      <c r="AO28" s="256"/>
      <c r="AP28" s="153"/>
      <c r="AQ28" s="153"/>
      <c r="AR28" s="153"/>
      <c r="AS28" s="153"/>
      <c r="AT28" s="257"/>
      <c r="AU28" s="1"/>
      <c r="AV28" s="1"/>
      <c r="AW28" s="1"/>
      <c r="AX28" s="1"/>
      <c r="AY28" s="1"/>
      <c r="AZ28" s="1"/>
      <c r="BA28" s="1"/>
      <c r="BB28" s="1"/>
      <c r="BC28" s="1"/>
      <c r="BD28" s="1"/>
      <c r="BE28" s="1"/>
      <c r="BF28" s="1"/>
      <c r="BG28" s="1"/>
      <c r="BH28" s="1"/>
      <c r="BI28" s="1"/>
    </row>
    <row r="29" spans="1:61" ht="15.75" customHeight="1" x14ac:dyDescent="0.2">
      <c r="A29" s="1"/>
      <c r="B29" s="273"/>
      <c r="C29" s="153"/>
      <c r="D29" s="154"/>
      <c r="E29" s="242"/>
      <c r="F29" s="266"/>
      <c r="G29" s="266"/>
      <c r="H29" s="266"/>
      <c r="I29" s="245"/>
      <c r="J29" s="234"/>
      <c r="K29" s="235"/>
      <c r="L29" s="230"/>
      <c r="M29" s="235"/>
      <c r="N29" s="230"/>
      <c r="O29" s="231"/>
      <c r="P29" s="242"/>
      <c r="Q29" s="243"/>
      <c r="R29" s="244"/>
      <c r="S29" s="243"/>
      <c r="T29" s="244"/>
      <c r="U29" s="245"/>
      <c r="V29" s="242"/>
      <c r="W29" s="243"/>
      <c r="X29" s="244"/>
      <c r="Y29" s="243"/>
      <c r="Z29" s="244"/>
      <c r="AA29" s="245"/>
      <c r="AB29" s="242"/>
      <c r="AC29" s="243"/>
      <c r="AD29" s="244"/>
      <c r="AE29" s="243"/>
      <c r="AF29" s="244"/>
      <c r="AG29" s="245"/>
      <c r="AH29" s="242"/>
      <c r="AI29" s="243"/>
      <c r="AJ29" s="244"/>
      <c r="AK29" s="243"/>
      <c r="AL29" s="244"/>
      <c r="AM29" s="245"/>
      <c r="AN29" s="1"/>
      <c r="AO29" s="258"/>
      <c r="AP29" s="259"/>
      <c r="AQ29" s="259"/>
      <c r="AR29" s="259"/>
      <c r="AS29" s="259"/>
      <c r="AT29" s="260"/>
      <c r="AU29" s="1"/>
      <c r="AV29" s="1"/>
      <c r="AW29" s="1"/>
      <c r="AX29" s="1"/>
      <c r="AY29" s="1"/>
      <c r="AZ29" s="1"/>
      <c r="BA29" s="1"/>
      <c r="BB29" s="1"/>
      <c r="BC29" s="1"/>
      <c r="BD29" s="1"/>
      <c r="BE29" s="1"/>
      <c r="BF29" s="1"/>
      <c r="BG29" s="1"/>
      <c r="BH29" s="1"/>
      <c r="BI29" s="1"/>
    </row>
    <row r="30" spans="1:61" ht="15.75" customHeight="1" x14ac:dyDescent="0.2">
      <c r="A30" s="1"/>
      <c r="B30" s="273"/>
      <c r="C30" s="153"/>
      <c r="D30" s="154"/>
      <c r="E30" s="264" t="s">
        <v>95</v>
      </c>
      <c r="F30" s="265"/>
      <c r="G30" s="265"/>
      <c r="H30" s="265"/>
      <c r="I30" s="265"/>
      <c r="J30" s="267" t="str">
        <f ca="1">IF(AND('Mapa final'!$L$7="Baja",'Mapa final'!$AI$7="Leve"),CONCATENATE("R",'Mapa final'!$A$7),"")</f>
        <v/>
      </c>
      <c r="K30" s="238"/>
      <c r="L30" s="269" t="e">
        <f>IF(AND('Mapa final'!#REF!="Baja",'Mapa final'!#REF!="Leve"),CONCATENATE("R",'Mapa final'!#REF!),"")</f>
        <v>#REF!</v>
      </c>
      <c r="M30" s="238"/>
      <c r="N30" s="269" t="e">
        <f>IF(AND('Mapa final'!#REF!="Baja",'Mapa final'!#REF!="Leve"),CONCATENATE("R",'Mapa final'!#REF!),"")</f>
        <v>#REF!</v>
      </c>
      <c r="O30" s="247"/>
      <c r="P30" s="246" t="str">
        <f ca="1">IF(AND('Mapa final'!$L$7="Baja",'Mapa final'!$AI$7="Menor"),CONCATENATE("R",'Mapa final'!$A$7),"")</f>
        <v/>
      </c>
      <c r="Q30" s="238"/>
      <c r="R30" s="246" t="e">
        <f>IF(AND('Mapa final'!#REF!="Baja",'Mapa final'!#REF!="Menor"),CONCATENATE("R",'Mapa final'!#REF!),"")</f>
        <v>#REF!</v>
      </c>
      <c r="S30" s="238"/>
      <c r="T30" s="246" t="e">
        <f>IF(AND('Mapa final'!#REF!="Baja",'Mapa final'!#REF!="Menor"),CONCATENATE("R",'Mapa final'!#REF!),"")</f>
        <v>#REF!</v>
      </c>
      <c r="U30" s="247"/>
      <c r="V30" s="248" t="str">
        <f ca="1">IF(AND('Mapa final'!$L$7="Baja",'Mapa final'!$AI$7="Moderado"),CONCATENATE("R",'Mapa final'!$A$7),"")</f>
        <v/>
      </c>
      <c r="W30" s="238"/>
      <c r="X30" s="246" t="e">
        <f>IF(AND('Mapa final'!#REF!="Baja",'Mapa final'!#REF!="Moderado"),CONCATENATE("R",'Mapa final'!#REF!),"")</f>
        <v>#REF!</v>
      </c>
      <c r="Y30" s="238"/>
      <c r="Z30" s="246" t="e">
        <f>IF(AND('Mapa final'!#REF!="Baja",'Mapa final'!#REF!="Moderado"),CONCATENATE("R",'Mapa final'!#REF!),"")</f>
        <v>#REF!</v>
      </c>
      <c r="AA30" s="247"/>
      <c r="AB30" s="237" t="str">
        <f ca="1">IF(AND('Mapa final'!$L$7="Baja",'Mapa final'!$AI$7="Mayor"),CONCATENATE("R",'Mapa final'!$A$7),"")</f>
        <v/>
      </c>
      <c r="AC30" s="238"/>
      <c r="AD30" s="239" t="e">
        <f>IF(AND('Mapa final'!#REF!="Baja",'Mapa final'!#REF!="Mayor"),CONCATENATE("R",'Mapa final'!#REF!),"")</f>
        <v>#REF!</v>
      </c>
      <c r="AE30" s="238"/>
      <c r="AF30" s="239" t="e">
        <f>IF(AND('Mapa final'!#REF!="Baja",'Mapa final'!#REF!="Mayor"),CONCATENATE("R",'Mapa final'!#REF!),"")</f>
        <v>#REF!</v>
      </c>
      <c r="AG30" s="247"/>
      <c r="AH30" s="249" t="str">
        <f ca="1">IF(AND('Mapa final'!$L$7="Baja",'Mapa final'!$AI$7="Catastrófico"),CONCATENATE("R",'Mapa final'!$A$7),"")</f>
        <v/>
      </c>
      <c r="AI30" s="238"/>
      <c r="AJ30" s="241" t="e">
        <f>IF(AND('Mapa final'!#REF!="Baja",'Mapa final'!#REF!="Catastrófico"),CONCATENATE("R",'Mapa final'!#REF!),"")</f>
        <v>#REF!</v>
      </c>
      <c r="AK30" s="238"/>
      <c r="AL30" s="241" t="e">
        <f>IF(AND('Mapa final'!#REF!="Baja",'Mapa final'!#REF!="Catastrófico"),CONCATENATE("R",'Mapa final'!#REF!),"")</f>
        <v>#REF!</v>
      </c>
      <c r="AM30" s="247"/>
      <c r="AN30" s="1"/>
      <c r="AO30" s="253" t="s">
        <v>96</v>
      </c>
      <c r="AP30" s="254"/>
      <c r="AQ30" s="254"/>
      <c r="AR30" s="254"/>
      <c r="AS30" s="254"/>
      <c r="AT30" s="255"/>
      <c r="AU30" s="1"/>
      <c r="AV30" s="1"/>
      <c r="AW30" s="1"/>
      <c r="AX30" s="1"/>
      <c r="AY30" s="1"/>
      <c r="AZ30" s="1"/>
      <c r="BA30" s="1"/>
      <c r="BB30" s="1"/>
      <c r="BC30" s="1"/>
      <c r="BD30" s="1"/>
      <c r="BE30" s="1"/>
      <c r="BF30" s="1"/>
      <c r="BG30" s="1"/>
      <c r="BH30" s="1"/>
      <c r="BI30" s="1"/>
    </row>
    <row r="31" spans="1:61" ht="15.75" customHeight="1" x14ac:dyDescent="0.2">
      <c r="A31" s="1"/>
      <c r="B31" s="273"/>
      <c r="C31" s="153"/>
      <c r="D31" s="154"/>
      <c r="E31" s="165"/>
      <c r="F31" s="153"/>
      <c r="G31" s="153"/>
      <c r="H31" s="153"/>
      <c r="I31" s="153"/>
      <c r="J31" s="234"/>
      <c r="K31" s="235"/>
      <c r="L31" s="230"/>
      <c r="M31" s="235"/>
      <c r="N31" s="230"/>
      <c r="O31" s="231"/>
      <c r="P31" s="230"/>
      <c r="Q31" s="235"/>
      <c r="R31" s="230"/>
      <c r="S31" s="235"/>
      <c r="T31" s="230"/>
      <c r="U31" s="231"/>
      <c r="V31" s="234"/>
      <c r="W31" s="235"/>
      <c r="X31" s="230"/>
      <c r="Y31" s="235"/>
      <c r="Z31" s="230"/>
      <c r="AA31" s="231"/>
      <c r="AB31" s="234"/>
      <c r="AC31" s="235"/>
      <c r="AD31" s="230"/>
      <c r="AE31" s="235"/>
      <c r="AF31" s="230"/>
      <c r="AG31" s="231"/>
      <c r="AH31" s="234"/>
      <c r="AI31" s="235"/>
      <c r="AJ31" s="230"/>
      <c r="AK31" s="235"/>
      <c r="AL31" s="230"/>
      <c r="AM31" s="231"/>
      <c r="AN31" s="1"/>
      <c r="AO31" s="256"/>
      <c r="AP31" s="153"/>
      <c r="AQ31" s="153"/>
      <c r="AR31" s="153"/>
      <c r="AS31" s="153"/>
      <c r="AT31" s="257"/>
      <c r="AU31" s="1"/>
      <c r="AV31" s="1"/>
      <c r="AW31" s="1"/>
      <c r="AX31" s="1"/>
      <c r="AY31" s="1"/>
      <c r="AZ31" s="1"/>
      <c r="BA31" s="1"/>
      <c r="BB31" s="1"/>
      <c r="BC31" s="1"/>
      <c r="BD31" s="1"/>
      <c r="BE31" s="1"/>
      <c r="BF31" s="1"/>
      <c r="BG31" s="1"/>
      <c r="BH31" s="1"/>
      <c r="BI31" s="1"/>
    </row>
    <row r="32" spans="1:61" ht="15.75" customHeight="1" x14ac:dyDescent="0.2">
      <c r="A32" s="1"/>
      <c r="B32" s="273"/>
      <c r="C32" s="153"/>
      <c r="D32" s="154"/>
      <c r="E32" s="165"/>
      <c r="F32" s="153"/>
      <c r="G32" s="153"/>
      <c r="H32" s="153"/>
      <c r="I32" s="153"/>
      <c r="J32" s="268" t="e">
        <f>IF(AND('Mapa final'!#REF!="Baja",'Mapa final'!#REF!="Leve"),CONCATENATE("R",'Mapa final'!#REF!),"")</f>
        <v>#REF!</v>
      </c>
      <c r="K32" s="233"/>
      <c r="L32" s="250" t="e">
        <f>IF(AND('Mapa final'!#REF!="Baja",'Mapa final'!#REF!="Leve"),CONCATENATE("R",'Mapa final'!#REF!),"")</f>
        <v>#REF!</v>
      </c>
      <c r="M32" s="233"/>
      <c r="N32" s="250" t="e">
        <f>IF(AND('Mapa final'!#REF!="Baja",'Mapa final'!#REF!="Leve"),CONCATENATE("R",'Mapa final'!#REF!),"")</f>
        <v>#REF!</v>
      </c>
      <c r="O32" s="229"/>
      <c r="P32" s="251" t="e">
        <f>IF(AND('Mapa final'!#REF!="Baja",'Mapa final'!#REF!="Menor"),CONCATENATE("R",'Mapa final'!#REF!),"")</f>
        <v>#REF!</v>
      </c>
      <c r="Q32" s="233"/>
      <c r="R32" s="251" t="e">
        <f>IF(AND('Mapa final'!#REF!="Baja",'Mapa final'!#REF!="Menor"),CONCATENATE("R",'Mapa final'!#REF!),"")</f>
        <v>#REF!</v>
      </c>
      <c r="S32" s="233"/>
      <c r="T32" s="251" t="e">
        <f>IF(AND('Mapa final'!#REF!="Baja",'Mapa final'!#REF!="Menor"),CONCATENATE("R",'Mapa final'!#REF!),"")</f>
        <v>#REF!</v>
      </c>
      <c r="U32" s="229"/>
      <c r="V32" s="252" t="e">
        <f>IF(AND('Mapa final'!#REF!="Baja",'Mapa final'!#REF!="Moderado"),CONCATENATE("R",'Mapa final'!#REF!),"")</f>
        <v>#REF!</v>
      </c>
      <c r="W32" s="233"/>
      <c r="X32" s="251" t="e">
        <f>IF(AND('Mapa final'!#REF!="Baja",'Mapa final'!#REF!="Moderado"),CONCATENATE("R",'Mapa final'!#REF!),"")</f>
        <v>#REF!</v>
      </c>
      <c r="Y32" s="233"/>
      <c r="Z32" s="251" t="e">
        <f>IF(AND('Mapa final'!#REF!="Baja",'Mapa final'!#REF!="Moderado"),CONCATENATE("R",'Mapa final'!#REF!),"")</f>
        <v>#REF!</v>
      </c>
      <c r="AA32" s="229"/>
      <c r="AB32" s="240" t="e">
        <f>IF(AND('Mapa final'!#REF!="Baja",'Mapa final'!#REF!="Mayor"),CONCATENATE("R",'Mapa final'!#REF!),"")</f>
        <v>#REF!</v>
      </c>
      <c r="AC32" s="233"/>
      <c r="AD32" s="228" t="e">
        <f>IF(AND('Mapa final'!#REF!="Baja",'Mapa final'!#REF!="Mayor"),CONCATENATE("R",'Mapa final'!#REF!),"")</f>
        <v>#REF!</v>
      </c>
      <c r="AE32" s="233"/>
      <c r="AF32" s="228" t="e">
        <f>IF(AND('Mapa final'!#REF!="Baja",'Mapa final'!#REF!="Mayor"),CONCATENATE("R",'Mapa final'!#REF!),"")</f>
        <v>#REF!</v>
      </c>
      <c r="AG32" s="229"/>
      <c r="AH32" s="232" t="e">
        <f>IF(AND('Mapa final'!#REF!="Baja",'Mapa final'!#REF!="Catastrófico"),CONCATENATE("R",'Mapa final'!#REF!),"")</f>
        <v>#REF!</v>
      </c>
      <c r="AI32" s="233"/>
      <c r="AJ32" s="236" t="e">
        <f>IF(AND('Mapa final'!#REF!="Baja",'Mapa final'!#REF!="Catastrófico"),CONCATENATE("R",'Mapa final'!#REF!),"")</f>
        <v>#REF!</v>
      </c>
      <c r="AK32" s="233"/>
      <c r="AL32" s="236" t="e">
        <f>IF(AND('Mapa final'!#REF!="Baja",'Mapa final'!#REF!="Catastrófico"),CONCATENATE("R",'Mapa final'!#REF!),"")</f>
        <v>#REF!</v>
      </c>
      <c r="AM32" s="229"/>
      <c r="AN32" s="1"/>
      <c r="AO32" s="256"/>
      <c r="AP32" s="153"/>
      <c r="AQ32" s="153"/>
      <c r="AR32" s="153"/>
      <c r="AS32" s="153"/>
      <c r="AT32" s="257"/>
      <c r="AU32" s="1"/>
      <c r="AV32" s="1"/>
      <c r="AW32" s="1"/>
      <c r="AX32" s="1"/>
      <c r="AY32" s="1"/>
      <c r="AZ32" s="1"/>
      <c r="BA32" s="1"/>
      <c r="BB32" s="1"/>
      <c r="BC32" s="1"/>
      <c r="BD32" s="1"/>
      <c r="BE32" s="1"/>
      <c r="BF32" s="1"/>
      <c r="BG32" s="1"/>
      <c r="BH32" s="1"/>
      <c r="BI32" s="1"/>
    </row>
    <row r="33" spans="1:61" ht="15.75" customHeight="1" x14ac:dyDescent="0.2">
      <c r="A33" s="1"/>
      <c r="B33" s="273"/>
      <c r="C33" s="153"/>
      <c r="D33" s="154"/>
      <c r="E33" s="165"/>
      <c r="F33" s="153"/>
      <c r="G33" s="153"/>
      <c r="H33" s="153"/>
      <c r="I33" s="153"/>
      <c r="J33" s="234"/>
      <c r="K33" s="235"/>
      <c r="L33" s="230"/>
      <c r="M33" s="235"/>
      <c r="N33" s="230"/>
      <c r="O33" s="231"/>
      <c r="P33" s="230"/>
      <c r="Q33" s="235"/>
      <c r="R33" s="230"/>
      <c r="S33" s="235"/>
      <c r="T33" s="230"/>
      <c r="U33" s="231"/>
      <c r="V33" s="234"/>
      <c r="W33" s="235"/>
      <c r="X33" s="230"/>
      <c r="Y33" s="235"/>
      <c r="Z33" s="230"/>
      <c r="AA33" s="231"/>
      <c r="AB33" s="234"/>
      <c r="AC33" s="235"/>
      <c r="AD33" s="230"/>
      <c r="AE33" s="235"/>
      <c r="AF33" s="230"/>
      <c r="AG33" s="231"/>
      <c r="AH33" s="234"/>
      <c r="AI33" s="235"/>
      <c r="AJ33" s="230"/>
      <c r="AK33" s="235"/>
      <c r="AL33" s="230"/>
      <c r="AM33" s="231"/>
      <c r="AN33" s="1"/>
      <c r="AO33" s="256"/>
      <c r="AP33" s="153"/>
      <c r="AQ33" s="153"/>
      <c r="AR33" s="153"/>
      <c r="AS33" s="153"/>
      <c r="AT33" s="257"/>
      <c r="AU33" s="1"/>
      <c r="AV33" s="1"/>
      <c r="AW33" s="1"/>
      <c r="AX33" s="1"/>
      <c r="AY33" s="1"/>
      <c r="AZ33" s="1"/>
      <c r="BA33" s="1"/>
      <c r="BB33" s="1"/>
      <c r="BC33" s="1"/>
      <c r="BD33" s="1"/>
      <c r="BE33" s="1"/>
      <c r="BF33" s="1"/>
      <c r="BG33" s="1"/>
      <c r="BH33" s="1"/>
      <c r="BI33" s="1"/>
    </row>
    <row r="34" spans="1:61" ht="15.75" customHeight="1" x14ac:dyDescent="0.2">
      <c r="A34" s="1"/>
      <c r="B34" s="273"/>
      <c r="C34" s="153"/>
      <c r="D34" s="154"/>
      <c r="E34" s="165"/>
      <c r="F34" s="153"/>
      <c r="G34" s="153"/>
      <c r="H34" s="153"/>
      <c r="I34" s="153"/>
      <c r="J34" s="268" t="e">
        <f>IF(AND('Mapa final'!#REF!="Baja",'Mapa final'!#REF!="Leve"),CONCATENATE("R",'Mapa final'!#REF!),"")</f>
        <v>#REF!</v>
      </c>
      <c r="K34" s="233"/>
      <c r="L34" s="250" t="e">
        <f>IF(AND('Mapa final'!#REF!="Baja",'Mapa final'!#REF!="Leve"),CONCATENATE("R",'Mapa final'!#REF!),"")</f>
        <v>#REF!</v>
      </c>
      <c r="M34" s="233"/>
      <c r="N34" s="250" t="e">
        <f>IF(AND('Mapa final'!#REF!="Baja",'Mapa final'!#REF!="Leve"),CONCATENATE("R",'Mapa final'!#REF!),"")</f>
        <v>#REF!</v>
      </c>
      <c r="O34" s="229"/>
      <c r="P34" s="251" t="e">
        <f>IF(AND('Mapa final'!#REF!="Baja",'Mapa final'!#REF!="Menor"),CONCATENATE("R",'Mapa final'!#REF!),"")</f>
        <v>#REF!</v>
      </c>
      <c r="Q34" s="233"/>
      <c r="R34" s="251" t="e">
        <f>IF(AND('Mapa final'!#REF!="Baja",'Mapa final'!#REF!="Menor"),CONCATENATE("R",'Mapa final'!#REF!),"")</f>
        <v>#REF!</v>
      </c>
      <c r="S34" s="233"/>
      <c r="T34" s="251" t="e">
        <f>IF(AND('Mapa final'!#REF!="Baja",'Mapa final'!#REF!="Menor"),CONCATENATE("R",'Mapa final'!#REF!),"")</f>
        <v>#REF!</v>
      </c>
      <c r="U34" s="229"/>
      <c r="V34" s="252" t="e">
        <f>IF(AND('Mapa final'!#REF!="Baja",'Mapa final'!#REF!="Moderado"),CONCATENATE("R",'Mapa final'!#REF!),"")</f>
        <v>#REF!</v>
      </c>
      <c r="W34" s="233"/>
      <c r="X34" s="251" t="e">
        <f>IF(AND('Mapa final'!#REF!="Baja",'Mapa final'!#REF!="Moderado"),CONCATENATE("R",'Mapa final'!#REF!),"")</f>
        <v>#REF!</v>
      </c>
      <c r="Y34" s="233"/>
      <c r="Z34" s="251" t="e">
        <f>IF(AND('Mapa final'!#REF!="Baja",'Mapa final'!#REF!="Moderado"),CONCATENATE("R",'Mapa final'!#REF!),"")</f>
        <v>#REF!</v>
      </c>
      <c r="AA34" s="229"/>
      <c r="AB34" s="240" t="e">
        <f>IF(AND('Mapa final'!#REF!="Baja",'Mapa final'!#REF!="Mayor"),CONCATENATE("R",'Mapa final'!#REF!),"")</f>
        <v>#REF!</v>
      </c>
      <c r="AC34" s="233"/>
      <c r="AD34" s="228" t="e">
        <f>IF(AND('Mapa final'!#REF!="Baja",'Mapa final'!#REF!="Mayor"),CONCATENATE("R",'Mapa final'!#REF!),"")</f>
        <v>#REF!</v>
      </c>
      <c r="AE34" s="233"/>
      <c r="AF34" s="228" t="e">
        <f>IF(AND('Mapa final'!#REF!="Baja",'Mapa final'!#REF!="Mayor"),CONCATENATE("R",'Mapa final'!#REF!),"")</f>
        <v>#REF!</v>
      </c>
      <c r="AG34" s="229"/>
      <c r="AH34" s="232" t="e">
        <f>IF(AND('Mapa final'!#REF!="Baja",'Mapa final'!#REF!="Catastrófico"),CONCATENATE("R",'Mapa final'!#REF!),"")</f>
        <v>#REF!</v>
      </c>
      <c r="AI34" s="233"/>
      <c r="AJ34" s="236" t="e">
        <f>IF(AND('Mapa final'!#REF!="Baja",'Mapa final'!#REF!="Catastrófico"),CONCATENATE("R",'Mapa final'!#REF!),"")</f>
        <v>#REF!</v>
      </c>
      <c r="AK34" s="233"/>
      <c r="AL34" s="236" t="e">
        <f>IF(AND('Mapa final'!#REF!="Baja",'Mapa final'!#REF!="Catastrófico"),CONCATENATE("R",'Mapa final'!#REF!),"")</f>
        <v>#REF!</v>
      </c>
      <c r="AM34" s="229"/>
      <c r="AN34" s="1"/>
      <c r="AO34" s="256"/>
      <c r="AP34" s="153"/>
      <c r="AQ34" s="153"/>
      <c r="AR34" s="153"/>
      <c r="AS34" s="153"/>
      <c r="AT34" s="257"/>
      <c r="AU34" s="1"/>
      <c r="AV34" s="1"/>
      <c r="AW34" s="1"/>
      <c r="AX34" s="1"/>
      <c r="AY34" s="1"/>
      <c r="AZ34" s="1"/>
      <c r="BA34" s="1"/>
      <c r="BB34" s="1"/>
      <c r="BC34" s="1"/>
      <c r="BD34" s="1"/>
      <c r="BE34" s="1"/>
      <c r="BF34" s="1"/>
      <c r="BG34" s="1"/>
      <c r="BH34" s="1"/>
      <c r="BI34" s="1"/>
    </row>
    <row r="35" spans="1:61" ht="15.75" customHeight="1" x14ac:dyDescent="0.2">
      <c r="A35" s="1"/>
      <c r="B35" s="273"/>
      <c r="C35" s="153"/>
      <c r="D35" s="154"/>
      <c r="E35" s="165"/>
      <c r="F35" s="153"/>
      <c r="G35" s="153"/>
      <c r="H35" s="153"/>
      <c r="I35" s="153"/>
      <c r="J35" s="234"/>
      <c r="K35" s="235"/>
      <c r="L35" s="230"/>
      <c r="M35" s="235"/>
      <c r="N35" s="230"/>
      <c r="O35" s="231"/>
      <c r="P35" s="230"/>
      <c r="Q35" s="235"/>
      <c r="R35" s="230"/>
      <c r="S35" s="235"/>
      <c r="T35" s="230"/>
      <c r="U35" s="231"/>
      <c r="V35" s="234"/>
      <c r="W35" s="235"/>
      <c r="X35" s="230"/>
      <c r="Y35" s="235"/>
      <c r="Z35" s="230"/>
      <c r="AA35" s="231"/>
      <c r="AB35" s="234"/>
      <c r="AC35" s="235"/>
      <c r="AD35" s="230"/>
      <c r="AE35" s="235"/>
      <c r="AF35" s="230"/>
      <c r="AG35" s="231"/>
      <c r="AH35" s="234"/>
      <c r="AI35" s="235"/>
      <c r="AJ35" s="230"/>
      <c r="AK35" s="235"/>
      <c r="AL35" s="230"/>
      <c r="AM35" s="231"/>
      <c r="AN35" s="1"/>
      <c r="AO35" s="256"/>
      <c r="AP35" s="153"/>
      <c r="AQ35" s="153"/>
      <c r="AR35" s="153"/>
      <c r="AS35" s="153"/>
      <c r="AT35" s="257"/>
      <c r="AU35" s="1"/>
      <c r="AV35" s="1"/>
      <c r="AW35" s="1"/>
      <c r="AX35" s="1"/>
      <c r="AY35" s="1"/>
      <c r="AZ35" s="1"/>
      <c r="BA35" s="1"/>
      <c r="BB35" s="1"/>
      <c r="BC35" s="1"/>
      <c r="BD35" s="1"/>
      <c r="BE35" s="1"/>
      <c r="BF35" s="1"/>
      <c r="BG35" s="1"/>
      <c r="BH35" s="1"/>
      <c r="BI35" s="1"/>
    </row>
    <row r="36" spans="1:61" ht="15.75" customHeight="1" x14ac:dyDescent="0.2">
      <c r="A36" s="1"/>
      <c r="B36" s="273"/>
      <c r="C36" s="153"/>
      <c r="D36" s="154"/>
      <c r="E36" s="165"/>
      <c r="F36" s="153"/>
      <c r="G36" s="153"/>
      <c r="H36" s="153"/>
      <c r="I36" s="153"/>
      <c r="J36" s="268" t="e">
        <f>IF(AND('Mapa final'!#REF!="Baja",'Mapa final'!#REF!="Leve"),CONCATENATE("R",'Mapa final'!#REF!),"")</f>
        <v>#REF!</v>
      </c>
      <c r="K36" s="233"/>
      <c r="L36" s="250" t="e">
        <f>IF(AND('Mapa final'!#REF!="Baja",'Mapa final'!#REF!="Leve"),CONCATENATE("R",'Mapa final'!#REF!),"")</f>
        <v>#REF!</v>
      </c>
      <c r="M36" s="233"/>
      <c r="N36" s="250" t="e">
        <f>IF(AND('Mapa final'!#REF!="Baja",'Mapa final'!#REF!="Leve"),CONCATENATE("R",'Mapa final'!#REF!),"")</f>
        <v>#REF!</v>
      </c>
      <c r="O36" s="229"/>
      <c r="P36" s="251" t="e">
        <f>IF(AND('Mapa final'!#REF!="Baja",'Mapa final'!#REF!="Menor"),CONCATENATE("R",'Mapa final'!#REF!),"")</f>
        <v>#REF!</v>
      </c>
      <c r="Q36" s="233"/>
      <c r="R36" s="251" t="e">
        <f>IF(AND('Mapa final'!#REF!="Baja",'Mapa final'!#REF!="Menor"),CONCATENATE("R",'Mapa final'!#REF!),"")</f>
        <v>#REF!</v>
      </c>
      <c r="S36" s="233"/>
      <c r="T36" s="251" t="e">
        <f>IF(AND('Mapa final'!#REF!="Baja",'Mapa final'!#REF!="Menor"),CONCATENATE("R",'Mapa final'!#REF!),"")</f>
        <v>#REF!</v>
      </c>
      <c r="U36" s="229"/>
      <c r="V36" s="252" t="e">
        <f>IF(AND('Mapa final'!#REF!="Baja",'Mapa final'!#REF!="Moderado"),CONCATENATE("R",'Mapa final'!#REF!),"")</f>
        <v>#REF!</v>
      </c>
      <c r="W36" s="233"/>
      <c r="X36" s="251" t="e">
        <f>IF(AND('Mapa final'!#REF!="Baja",'Mapa final'!#REF!="Moderado"),CONCATENATE("R",'Mapa final'!#REF!),"")</f>
        <v>#REF!</v>
      </c>
      <c r="Y36" s="233"/>
      <c r="Z36" s="251" t="e">
        <f>IF(AND('Mapa final'!#REF!="Baja",'Mapa final'!#REF!="Moderado"),CONCATENATE("R",'Mapa final'!#REF!),"")</f>
        <v>#REF!</v>
      </c>
      <c r="AA36" s="229"/>
      <c r="AB36" s="240" t="e">
        <f>IF(AND('Mapa final'!#REF!="Baja",'Mapa final'!#REF!="Mayor"),CONCATENATE("R",'Mapa final'!#REF!),"")</f>
        <v>#REF!</v>
      </c>
      <c r="AC36" s="233"/>
      <c r="AD36" s="228" t="e">
        <f>IF(AND('Mapa final'!#REF!="Baja",'Mapa final'!#REF!="Mayor"),CONCATENATE("R",'Mapa final'!#REF!),"")</f>
        <v>#REF!</v>
      </c>
      <c r="AE36" s="233"/>
      <c r="AF36" s="228" t="e">
        <f>IF(AND('Mapa final'!#REF!="Baja",'Mapa final'!#REF!="Mayor"),CONCATENATE("R",'Mapa final'!#REF!),"")</f>
        <v>#REF!</v>
      </c>
      <c r="AG36" s="229"/>
      <c r="AH36" s="232" t="e">
        <f>IF(AND('Mapa final'!#REF!="Baja",'Mapa final'!#REF!="Catastrófico"),CONCATENATE("R",'Mapa final'!#REF!),"")</f>
        <v>#REF!</v>
      </c>
      <c r="AI36" s="233"/>
      <c r="AJ36" s="236" t="e">
        <f>IF(AND('Mapa final'!#REF!="Baja",'Mapa final'!#REF!="Catastrófico"),CONCATENATE("R",'Mapa final'!#REF!),"")</f>
        <v>#REF!</v>
      </c>
      <c r="AK36" s="233"/>
      <c r="AL36" s="236" t="e">
        <f>IF(AND('Mapa final'!#REF!="Baja",'Mapa final'!#REF!="Catastrófico"),CONCATENATE("R",'Mapa final'!#REF!),"")</f>
        <v>#REF!</v>
      </c>
      <c r="AM36" s="229"/>
      <c r="AN36" s="1"/>
      <c r="AO36" s="256"/>
      <c r="AP36" s="153"/>
      <c r="AQ36" s="153"/>
      <c r="AR36" s="153"/>
      <c r="AS36" s="153"/>
      <c r="AT36" s="257"/>
      <c r="AU36" s="1"/>
      <c r="AV36" s="1"/>
      <c r="AW36" s="1"/>
      <c r="AX36" s="1"/>
      <c r="AY36" s="1"/>
      <c r="AZ36" s="1"/>
      <c r="BA36" s="1"/>
      <c r="BB36" s="1"/>
      <c r="BC36" s="1"/>
      <c r="BD36" s="1"/>
      <c r="BE36" s="1"/>
      <c r="BF36" s="1"/>
      <c r="BG36" s="1"/>
      <c r="BH36" s="1"/>
      <c r="BI36" s="1"/>
    </row>
    <row r="37" spans="1:61" ht="15.75" customHeight="1" x14ac:dyDescent="0.2">
      <c r="A37" s="1"/>
      <c r="B37" s="273"/>
      <c r="C37" s="153"/>
      <c r="D37" s="154"/>
      <c r="E37" s="242"/>
      <c r="F37" s="266"/>
      <c r="G37" s="266"/>
      <c r="H37" s="266"/>
      <c r="I37" s="266"/>
      <c r="J37" s="242"/>
      <c r="K37" s="243"/>
      <c r="L37" s="244"/>
      <c r="M37" s="243"/>
      <c r="N37" s="244"/>
      <c r="O37" s="245"/>
      <c r="P37" s="244"/>
      <c r="Q37" s="243"/>
      <c r="R37" s="244"/>
      <c r="S37" s="243"/>
      <c r="T37" s="244"/>
      <c r="U37" s="245"/>
      <c r="V37" s="242"/>
      <c r="W37" s="243"/>
      <c r="X37" s="244"/>
      <c r="Y37" s="243"/>
      <c r="Z37" s="244"/>
      <c r="AA37" s="245"/>
      <c r="AB37" s="242"/>
      <c r="AC37" s="243"/>
      <c r="AD37" s="244"/>
      <c r="AE37" s="243"/>
      <c r="AF37" s="244"/>
      <c r="AG37" s="245"/>
      <c r="AH37" s="242"/>
      <c r="AI37" s="243"/>
      <c r="AJ37" s="244"/>
      <c r="AK37" s="243"/>
      <c r="AL37" s="244"/>
      <c r="AM37" s="245"/>
      <c r="AN37" s="1"/>
      <c r="AO37" s="258"/>
      <c r="AP37" s="259"/>
      <c r="AQ37" s="259"/>
      <c r="AR37" s="259"/>
      <c r="AS37" s="259"/>
      <c r="AT37" s="260"/>
      <c r="AU37" s="1"/>
      <c r="AV37" s="1"/>
      <c r="AW37" s="1"/>
      <c r="AX37" s="1"/>
      <c r="AY37" s="1"/>
      <c r="AZ37" s="1"/>
      <c r="BA37" s="1"/>
      <c r="BB37" s="1"/>
      <c r="BC37" s="1"/>
      <c r="BD37" s="1"/>
      <c r="BE37" s="1"/>
      <c r="BF37" s="1"/>
      <c r="BG37" s="1"/>
      <c r="BH37" s="1"/>
      <c r="BI37" s="1"/>
    </row>
    <row r="38" spans="1:61" ht="15.75" customHeight="1" x14ac:dyDescent="0.2">
      <c r="A38" s="1"/>
      <c r="B38" s="273"/>
      <c r="C38" s="153"/>
      <c r="D38" s="154"/>
      <c r="E38" s="264" t="s">
        <v>97</v>
      </c>
      <c r="F38" s="265"/>
      <c r="G38" s="265"/>
      <c r="H38" s="265"/>
      <c r="I38" s="247"/>
      <c r="J38" s="267" t="str">
        <f ca="1">IF(AND('Mapa final'!$L$7="Muy Baja",'Mapa final'!$AI$7="Leve"),CONCATENATE("R",'Mapa final'!$A$7),"")</f>
        <v/>
      </c>
      <c r="K38" s="238"/>
      <c r="L38" s="269" t="e">
        <f>IF(AND('Mapa final'!#REF!="Muy Baja",'Mapa final'!#REF!="Leve"),CONCATENATE("R",'Mapa final'!#REF!),"")</f>
        <v>#REF!</v>
      </c>
      <c r="M38" s="238"/>
      <c r="N38" s="269" t="e">
        <f>IF(AND('Mapa final'!#REF!="Muy Baja",'Mapa final'!#REF!="Leve"),CONCATENATE("R",'Mapa final'!#REF!),"")</f>
        <v>#REF!</v>
      </c>
      <c r="O38" s="247"/>
      <c r="P38" s="267" t="str">
        <f ca="1">IF(AND('Mapa final'!$L$7="Muy Baja",'Mapa final'!$AI$7="Menor"),CONCATENATE("R",'Mapa final'!$A$7),"")</f>
        <v/>
      </c>
      <c r="Q38" s="238"/>
      <c r="R38" s="269" t="e">
        <f>IF(AND('Mapa final'!#REF!="Muy Baja",'Mapa final'!#REF!="Menor"),CONCATENATE("R",'Mapa final'!#REF!),"")</f>
        <v>#REF!</v>
      </c>
      <c r="S38" s="238"/>
      <c r="T38" s="269" t="e">
        <f>IF(AND('Mapa final'!#REF!="Muy Baja",'Mapa final'!#REF!="Menor"),CONCATENATE("R",'Mapa final'!#REF!),"")</f>
        <v>#REF!</v>
      </c>
      <c r="U38" s="247"/>
      <c r="V38" s="248" t="str">
        <f ca="1">IF(AND('Mapa final'!$L$7="Muy Baja",'Mapa final'!$AI$7="Moderado"),CONCATENATE("R",'Mapa final'!$A$7),"")</f>
        <v/>
      </c>
      <c r="W38" s="238"/>
      <c r="X38" s="246" t="e">
        <f>IF(AND('Mapa final'!#REF!="Muy Baja",'Mapa final'!#REF!="Moderado"),CONCATENATE("R",'Mapa final'!#REF!),"")</f>
        <v>#REF!</v>
      </c>
      <c r="Y38" s="238"/>
      <c r="Z38" s="246" t="e">
        <f>IF(AND('Mapa final'!#REF!="Muy Baja",'Mapa final'!#REF!="Moderado"),CONCATENATE("R",'Mapa final'!#REF!),"")</f>
        <v>#REF!</v>
      </c>
      <c r="AA38" s="247"/>
      <c r="AB38" s="237" t="str">
        <f ca="1">IF(AND('Mapa final'!$L$7="Muy Baja",'Mapa final'!$AI$7="Mayor"),CONCATENATE("R",'Mapa final'!$A$7),"")</f>
        <v/>
      </c>
      <c r="AC38" s="238"/>
      <c r="AD38" s="239" t="e">
        <f>IF(AND('Mapa final'!#REF!="Muy Baja",'Mapa final'!#REF!="Mayor"),CONCATENATE("R",'Mapa final'!#REF!),"")</f>
        <v>#REF!</v>
      </c>
      <c r="AE38" s="238"/>
      <c r="AF38" s="239" t="e">
        <f>IF(AND('Mapa final'!#REF!="Muy Baja",'Mapa final'!#REF!="Mayor"),CONCATENATE("R",'Mapa final'!#REF!),"")</f>
        <v>#REF!</v>
      </c>
      <c r="AG38" s="247"/>
      <c r="AH38" s="249" t="str">
        <f ca="1">IF(AND('Mapa final'!$L$7="Muy Baja",'Mapa final'!$AI$7="Catastrófico"),CONCATENATE("R",'Mapa final'!$A$7),"")</f>
        <v/>
      </c>
      <c r="AI38" s="238"/>
      <c r="AJ38" s="241" t="e">
        <f>IF(AND('Mapa final'!#REF!="Muy Baja",'Mapa final'!#REF!="Catastrófico"),CONCATENATE("R",'Mapa final'!#REF!),"")</f>
        <v>#REF!</v>
      </c>
      <c r="AK38" s="238"/>
      <c r="AL38" s="241" t="e">
        <f>IF(AND('Mapa final'!#REF!="Muy Baja",'Mapa final'!#REF!="Catastrófico"),CONCATENATE("R",'Mapa final'!#REF!),"")</f>
        <v>#REF!</v>
      </c>
      <c r="AM38" s="247"/>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
      <c r="A39" s="1"/>
      <c r="B39" s="273"/>
      <c r="C39" s="153"/>
      <c r="D39" s="154"/>
      <c r="E39" s="165"/>
      <c r="F39" s="153"/>
      <c r="G39" s="153"/>
      <c r="H39" s="153"/>
      <c r="I39" s="154"/>
      <c r="J39" s="234"/>
      <c r="K39" s="235"/>
      <c r="L39" s="230"/>
      <c r="M39" s="235"/>
      <c r="N39" s="230"/>
      <c r="O39" s="231"/>
      <c r="P39" s="234"/>
      <c r="Q39" s="235"/>
      <c r="R39" s="230"/>
      <c r="S39" s="235"/>
      <c r="T39" s="230"/>
      <c r="U39" s="231"/>
      <c r="V39" s="234"/>
      <c r="W39" s="235"/>
      <c r="X39" s="230"/>
      <c r="Y39" s="235"/>
      <c r="Z39" s="230"/>
      <c r="AA39" s="231"/>
      <c r="AB39" s="234"/>
      <c r="AC39" s="235"/>
      <c r="AD39" s="230"/>
      <c r="AE39" s="235"/>
      <c r="AF39" s="230"/>
      <c r="AG39" s="231"/>
      <c r="AH39" s="234"/>
      <c r="AI39" s="235"/>
      <c r="AJ39" s="230"/>
      <c r="AK39" s="235"/>
      <c r="AL39" s="230"/>
      <c r="AM39" s="23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
      <c r="A40" s="1"/>
      <c r="B40" s="273"/>
      <c r="C40" s="153"/>
      <c r="D40" s="154"/>
      <c r="E40" s="165"/>
      <c r="F40" s="153"/>
      <c r="G40" s="153"/>
      <c r="H40" s="153"/>
      <c r="I40" s="154"/>
      <c r="J40" s="268" t="e">
        <f>IF(AND('Mapa final'!#REF!="Muy Baja",'Mapa final'!#REF!="Leve"),CONCATENATE("R",'Mapa final'!#REF!),"")</f>
        <v>#REF!</v>
      </c>
      <c r="K40" s="233"/>
      <c r="L40" s="250" t="e">
        <f>IF(AND('Mapa final'!#REF!="Muy Baja",'Mapa final'!#REF!="Leve"),CONCATENATE("R",'Mapa final'!#REF!),"")</f>
        <v>#REF!</v>
      </c>
      <c r="M40" s="233"/>
      <c r="N40" s="250" t="e">
        <f>IF(AND('Mapa final'!#REF!="Muy Baja",'Mapa final'!#REF!="Leve"),CONCATENATE("R",'Mapa final'!#REF!),"")</f>
        <v>#REF!</v>
      </c>
      <c r="O40" s="229"/>
      <c r="P40" s="268" t="e">
        <f>IF(AND('Mapa final'!#REF!="Muy Baja",'Mapa final'!#REF!="Menor"),CONCATENATE("R",'Mapa final'!#REF!),"")</f>
        <v>#REF!</v>
      </c>
      <c r="Q40" s="233"/>
      <c r="R40" s="250" t="e">
        <f>IF(AND('Mapa final'!#REF!="Muy Baja",'Mapa final'!#REF!="Menor"),CONCATENATE("R",'Mapa final'!#REF!),"")</f>
        <v>#REF!</v>
      </c>
      <c r="S40" s="233"/>
      <c r="T40" s="250" t="e">
        <f>IF(AND('Mapa final'!#REF!="Muy Baja",'Mapa final'!#REF!="Menor"),CONCATENATE("R",'Mapa final'!#REF!),"")</f>
        <v>#REF!</v>
      </c>
      <c r="U40" s="229"/>
      <c r="V40" s="252" t="e">
        <f>IF(AND('Mapa final'!#REF!="Muy Baja",'Mapa final'!#REF!="Moderado"),CONCATENATE("R",'Mapa final'!#REF!),"")</f>
        <v>#REF!</v>
      </c>
      <c r="W40" s="233"/>
      <c r="X40" s="251" t="e">
        <f>IF(AND('Mapa final'!#REF!="Muy Baja",'Mapa final'!#REF!="Moderado"),CONCATENATE("R",'Mapa final'!#REF!),"")</f>
        <v>#REF!</v>
      </c>
      <c r="Y40" s="233"/>
      <c r="Z40" s="251" t="e">
        <f>IF(AND('Mapa final'!#REF!="Muy Baja",'Mapa final'!#REF!="Moderado"),CONCATENATE("R",'Mapa final'!#REF!),"")</f>
        <v>#REF!</v>
      </c>
      <c r="AA40" s="229"/>
      <c r="AB40" s="240" t="e">
        <f>IF(AND('Mapa final'!#REF!="Muy Baja",'Mapa final'!#REF!="Mayor"),CONCATENATE("R",'Mapa final'!#REF!),"")</f>
        <v>#REF!</v>
      </c>
      <c r="AC40" s="233"/>
      <c r="AD40" s="228" t="e">
        <f>IF(AND('Mapa final'!#REF!="Muy Baja",'Mapa final'!#REF!="Mayor"),CONCATENATE("R",'Mapa final'!#REF!),"")</f>
        <v>#REF!</v>
      </c>
      <c r="AE40" s="233"/>
      <c r="AF40" s="228" t="e">
        <f>IF(AND('Mapa final'!#REF!="Muy Baja",'Mapa final'!#REF!="Mayor"),CONCATENATE("R",'Mapa final'!#REF!),"")</f>
        <v>#REF!</v>
      </c>
      <c r="AG40" s="229"/>
      <c r="AH40" s="232" t="e">
        <f>IF(AND('Mapa final'!#REF!="Muy Baja",'Mapa final'!#REF!="Catastrófico"),CONCATENATE("R",'Mapa final'!#REF!),"")</f>
        <v>#REF!</v>
      </c>
      <c r="AI40" s="233"/>
      <c r="AJ40" s="236" t="e">
        <f>IF(AND('Mapa final'!#REF!="Muy Baja",'Mapa final'!#REF!="Catastrófico"),CONCATENATE("R",'Mapa final'!#REF!),"")</f>
        <v>#REF!</v>
      </c>
      <c r="AK40" s="233"/>
      <c r="AL40" s="236" t="e">
        <f>IF(AND('Mapa final'!#REF!="Muy Baja",'Mapa final'!#REF!="Catastrófico"),CONCATENATE("R",'Mapa final'!#REF!),"")</f>
        <v>#REF!</v>
      </c>
      <c r="AM40" s="229"/>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
      <c r="A41" s="1"/>
      <c r="B41" s="273"/>
      <c r="C41" s="153"/>
      <c r="D41" s="154"/>
      <c r="E41" s="165"/>
      <c r="F41" s="153"/>
      <c r="G41" s="153"/>
      <c r="H41" s="153"/>
      <c r="I41" s="154"/>
      <c r="J41" s="234"/>
      <c r="K41" s="235"/>
      <c r="L41" s="230"/>
      <c r="M41" s="235"/>
      <c r="N41" s="230"/>
      <c r="O41" s="231"/>
      <c r="P41" s="234"/>
      <c r="Q41" s="235"/>
      <c r="R41" s="230"/>
      <c r="S41" s="235"/>
      <c r="T41" s="230"/>
      <c r="U41" s="231"/>
      <c r="V41" s="234"/>
      <c r="W41" s="235"/>
      <c r="X41" s="230"/>
      <c r="Y41" s="235"/>
      <c r="Z41" s="230"/>
      <c r="AA41" s="231"/>
      <c r="AB41" s="234"/>
      <c r="AC41" s="235"/>
      <c r="AD41" s="230"/>
      <c r="AE41" s="235"/>
      <c r="AF41" s="230"/>
      <c r="AG41" s="231"/>
      <c r="AH41" s="234"/>
      <c r="AI41" s="235"/>
      <c r="AJ41" s="230"/>
      <c r="AK41" s="235"/>
      <c r="AL41" s="230"/>
      <c r="AM41" s="23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
      <c r="A42" s="1"/>
      <c r="B42" s="273"/>
      <c r="C42" s="153"/>
      <c r="D42" s="154"/>
      <c r="E42" s="165"/>
      <c r="F42" s="153"/>
      <c r="G42" s="153"/>
      <c r="H42" s="153"/>
      <c r="I42" s="154"/>
      <c r="J42" s="268" t="e">
        <f>IF(AND('Mapa final'!#REF!="Muy Baja",'Mapa final'!#REF!="Leve"),CONCATENATE("R",'Mapa final'!#REF!),"")</f>
        <v>#REF!</v>
      </c>
      <c r="K42" s="233"/>
      <c r="L42" s="250" t="e">
        <f>IF(AND('Mapa final'!#REF!="Muy Baja",'Mapa final'!#REF!="Leve"),CONCATENATE("R",'Mapa final'!#REF!),"")</f>
        <v>#REF!</v>
      </c>
      <c r="M42" s="233"/>
      <c r="N42" s="250" t="e">
        <f>IF(AND('Mapa final'!#REF!="Muy Baja",'Mapa final'!#REF!="Leve"),CONCATENATE("R",'Mapa final'!#REF!),"")</f>
        <v>#REF!</v>
      </c>
      <c r="O42" s="229"/>
      <c r="P42" s="268" t="e">
        <f>IF(AND('Mapa final'!#REF!="Muy Baja",'Mapa final'!#REF!="Menor"),CONCATENATE("R",'Mapa final'!#REF!),"")</f>
        <v>#REF!</v>
      </c>
      <c r="Q42" s="233"/>
      <c r="R42" s="250" t="e">
        <f>IF(AND('Mapa final'!#REF!="Muy Baja",'Mapa final'!#REF!="Menor"),CONCATENATE("R",'Mapa final'!#REF!),"")</f>
        <v>#REF!</v>
      </c>
      <c r="S42" s="233"/>
      <c r="T42" s="250" t="e">
        <f>IF(AND('Mapa final'!#REF!="Muy Baja",'Mapa final'!#REF!="Menor"),CONCATENATE("R",'Mapa final'!#REF!),"")</f>
        <v>#REF!</v>
      </c>
      <c r="U42" s="229"/>
      <c r="V42" s="252" t="e">
        <f>IF(AND('Mapa final'!#REF!="Muy Baja",'Mapa final'!#REF!="Moderado"),CONCATENATE("R",'Mapa final'!#REF!),"")</f>
        <v>#REF!</v>
      </c>
      <c r="W42" s="233"/>
      <c r="X42" s="251" t="e">
        <f>IF(AND('Mapa final'!#REF!="Muy Baja",'Mapa final'!#REF!="Moderado"),CONCATENATE("R",'Mapa final'!#REF!),"")</f>
        <v>#REF!</v>
      </c>
      <c r="Y42" s="233"/>
      <c r="Z42" s="251" t="e">
        <f>IF(AND('Mapa final'!#REF!="Muy Baja",'Mapa final'!#REF!="Moderado"),CONCATENATE("R",'Mapa final'!#REF!),"")</f>
        <v>#REF!</v>
      </c>
      <c r="AA42" s="229"/>
      <c r="AB42" s="240" t="e">
        <f>IF(AND('Mapa final'!#REF!="Muy Baja",'Mapa final'!#REF!="Mayor"),CONCATENATE("R",'Mapa final'!#REF!),"")</f>
        <v>#REF!</v>
      </c>
      <c r="AC42" s="233"/>
      <c r="AD42" s="228" t="e">
        <f>IF(AND('Mapa final'!#REF!="Muy Baja",'Mapa final'!#REF!="Mayor"),CONCATENATE("R",'Mapa final'!#REF!),"")</f>
        <v>#REF!</v>
      </c>
      <c r="AE42" s="233"/>
      <c r="AF42" s="228" t="e">
        <f>IF(AND('Mapa final'!#REF!="Muy Baja",'Mapa final'!#REF!="Mayor"),CONCATENATE("R",'Mapa final'!#REF!),"")</f>
        <v>#REF!</v>
      </c>
      <c r="AG42" s="229"/>
      <c r="AH42" s="232" t="e">
        <f>IF(AND('Mapa final'!#REF!="Muy Baja",'Mapa final'!#REF!="Catastrófico"),CONCATENATE("R",'Mapa final'!#REF!),"")</f>
        <v>#REF!</v>
      </c>
      <c r="AI42" s="233"/>
      <c r="AJ42" s="236" t="e">
        <f>IF(AND('Mapa final'!#REF!="Muy Baja",'Mapa final'!#REF!="Catastrófico"),CONCATENATE("R",'Mapa final'!#REF!),"")</f>
        <v>#REF!</v>
      </c>
      <c r="AK42" s="233"/>
      <c r="AL42" s="236" t="e">
        <f>IF(AND('Mapa final'!#REF!="Muy Baja",'Mapa final'!#REF!="Catastrófico"),CONCATENATE("R",'Mapa final'!#REF!),"")</f>
        <v>#REF!</v>
      </c>
      <c r="AM42" s="229"/>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
      <c r="A43" s="1"/>
      <c r="B43" s="273"/>
      <c r="C43" s="153"/>
      <c r="D43" s="154"/>
      <c r="E43" s="165"/>
      <c r="F43" s="153"/>
      <c r="G43" s="153"/>
      <c r="H43" s="153"/>
      <c r="I43" s="154"/>
      <c r="J43" s="234"/>
      <c r="K43" s="235"/>
      <c r="L43" s="230"/>
      <c r="M43" s="235"/>
      <c r="N43" s="230"/>
      <c r="O43" s="231"/>
      <c r="P43" s="234"/>
      <c r="Q43" s="235"/>
      <c r="R43" s="230"/>
      <c r="S43" s="235"/>
      <c r="T43" s="230"/>
      <c r="U43" s="231"/>
      <c r="V43" s="234"/>
      <c r="W43" s="235"/>
      <c r="X43" s="230"/>
      <c r="Y43" s="235"/>
      <c r="Z43" s="230"/>
      <c r="AA43" s="231"/>
      <c r="AB43" s="234"/>
      <c r="AC43" s="235"/>
      <c r="AD43" s="230"/>
      <c r="AE43" s="235"/>
      <c r="AF43" s="230"/>
      <c r="AG43" s="231"/>
      <c r="AH43" s="234"/>
      <c r="AI43" s="235"/>
      <c r="AJ43" s="230"/>
      <c r="AK43" s="235"/>
      <c r="AL43" s="230"/>
      <c r="AM43" s="23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
      <c r="A44" s="1"/>
      <c r="B44" s="273"/>
      <c r="C44" s="153"/>
      <c r="D44" s="154"/>
      <c r="E44" s="165"/>
      <c r="F44" s="153"/>
      <c r="G44" s="153"/>
      <c r="H44" s="153"/>
      <c r="I44" s="154"/>
      <c r="J44" s="268" t="e">
        <f>IF(AND('Mapa final'!#REF!="Muy Baja",'Mapa final'!#REF!="Leve"),CONCATENATE("R",'Mapa final'!#REF!),"")</f>
        <v>#REF!</v>
      </c>
      <c r="K44" s="233"/>
      <c r="L44" s="250" t="e">
        <f>IF(AND('Mapa final'!#REF!="Muy Baja",'Mapa final'!#REF!="Leve"),CONCATENATE("R",'Mapa final'!#REF!),"")</f>
        <v>#REF!</v>
      </c>
      <c r="M44" s="233"/>
      <c r="N44" s="250" t="e">
        <f>IF(AND('Mapa final'!#REF!="Muy Baja",'Mapa final'!#REF!="Leve"),CONCATENATE("R",'Mapa final'!#REF!),"")</f>
        <v>#REF!</v>
      </c>
      <c r="O44" s="229"/>
      <c r="P44" s="268" t="e">
        <f>IF(AND('Mapa final'!#REF!="Muy Baja",'Mapa final'!#REF!="Menor"),CONCATENATE("R",'Mapa final'!#REF!),"")</f>
        <v>#REF!</v>
      </c>
      <c r="Q44" s="233"/>
      <c r="R44" s="250" t="e">
        <f>IF(AND('Mapa final'!#REF!="Muy Baja",'Mapa final'!#REF!="Menor"),CONCATENATE("R",'Mapa final'!#REF!),"")</f>
        <v>#REF!</v>
      </c>
      <c r="S44" s="233"/>
      <c r="T44" s="250" t="e">
        <f>IF(AND('Mapa final'!#REF!="Muy Baja",'Mapa final'!#REF!="Menor"),CONCATENATE("R",'Mapa final'!#REF!),"")</f>
        <v>#REF!</v>
      </c>
      <c r="U44" s="229"/>
      <c r="V44" s="252" t="e">
        <f>IF(AND('Mapa final'!#REF!="Muy Baja",'Mapa final'!#REF!="Moderado"),CONCATENATE("R",'Mapa final'!#REF!),"")</f>
        <v>#REF!</v>
      </c>
      <c r="W44" s="233"/>
      <c r="X44" s="251" t="e">
        <f>IF(AND('Mapa final'!#REF!="Muy Baja",'Mapa final'!#REF!="Moderado"),CONCATENATE("R",'Mapa final'!#REF!),"")</f>
        <v>#REF!</v>
      </c>
      <c r="Y44" s="233"/>
      <c r="Z44" s="251" t="e">
        <f>IF(AND('Mapa final'!#REF!="Muy Baja",'Mapa final'!#REF!="Moderado"),CONCATENATE("R",'Mapa final'!#REF!),"")</f>
        <v>#REF!</v>
      </c>
      <c r="AA44" s="229"/>
      <c r="AB44" s="240" t="e">
        <f>IF(AND('Mapa final'!#REF!="Muy Baja",'Mapa final'!#REF!="Mayor"),CONCATENATE("R",'Mapa final'!#REF!),"")</f>
        <v>#REF!</v>
      </c>
      <c r="AC44" s="233"/>
      <c r="AD44" s="228" t="e">
        <f>IF(AND('Mapa final'!#REF!="Muy Baja",'Mapa final'!#REF!="Mayor"),CONCATENATE("R",'Mapa final'!#REF!),"")</f>
        <v>#REF!</v>
      </c>
      <c r="AE44" s="233"/>
      <c r="AF44" s="228" t="e">
        <f>IF(AND('Mapa final'!#REF!="Muy Baja",'Mapa final'!#REF!="Mayor"),CONCATENATE("R",'Mapa final'!#REF!),"")</f>
        <v>#REF!</v>
      </c>
      <c r="AG44" s="229"/>
      <c r="AH44" s="232" t="e">
        <f>IF(AND('Mapa final'!#REF!="Muy Baja",'Mapa final'!#REF!="Catastrófico"),CONCATENATE("R",'Mapa final'!#REF!),"")</f>
        <v>#REF!</v>
      </c>
      <c r="AI44" s="233"/>
      <c r="AJ44" s="236" t="e">
        <f>IF(AND('Mapa final'!#REF!="Muy Baja",'Mapa final'!#REF!="Catastrófico"),CONCATENATE("R",'Mapa final'!#REF!),"")</f>
        <v>#REF!</v>
      </c>
      <c r="AK44" s="233"/>
      <c r="AL44" s="236" t="e">
        <f>IF(AND('Mapa final'!#REF!="Muy Baja",'Mapa final'!#REF!="Catastrófico"),CONCATENATE("R",'Mapa final'!#REF!),"")</f>
        <v>#REF!</v>
      </c>
      <c r="AM44" s="22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
      <c r="A45" s="1"/>
      <c r="B45" s="230"/>
      <c r="C45" s="275"/>
      <c r="D45" s="231"/>
      <c r="E45" s="242"/>
      <c r="F45" s="266"/>
      <c r="G45" s="266"/>
      <c r="H45" s="266"/>
      <c r="I45" s="245"/>
      <c r="J45" s="242"/>
      <c r="K45" s="243"/>
      <c r="L45" s="244"/>
      <c r="M45" s="243"/>
      <c r="N45" s="244"/>
      <c r="O45" s="245"/>
      <c r="P45" s="242"/>
      <c r="Q45" s="243"/>
      <c r="R45" s="244"/>
      <c r="S45" s="243"/>
      <c r="T45" s="244"/>
      <c r="U45" s="245"/>
      <c r="V45" s="242"/>
      <c r="W45" s="243"/>
      <c r="X45" s="244"/>
      <c r="Y45" s="243"/>
      <c r="Z45" s="244"/>
      <c r="AA45" s="245"/>
      <c r="AB45" s="242"/>
      <c r="AC45" s="243"/>
      <c r="AD45" s="244"/>
      <c r="AE45" s="243"/>
      <c r="AF45" s="244"/>
      <c r="AG45" s="245"/>
      <c r="AH45" s="242"/>
      <c r="AI45" s="243"/>
      <c r="AJ45" s="244"/>
      <c r="AK45" s="243"/>
      <c r="AL45" s="244"/>
      <c r="AM45" s="245"/>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
      <c r="A46" s="1"/>
      <c r="B46" s="1"/>
      <c r="C46" s="1"/>
      <c r="D46" s="1"/>
      <c r="E46" s="1"/>
      <c r="F46" s="1"/>
      <c r="G46" s="1"/>
      <c r="H46" s="1"/>
      <c r="I46" s="1"/>
      <c r="J46" s="264" t="s">
        <v>98</v>
      </c>
      <c r="K46" s="265"/>
      <c r="L46" s="265"/>
      <c r="M46" s="265"/>
      <c r="N46" s="265"/>
      <c r="O46" s="247"/>
      <c r="P46" s="264" t="s">
        <v>99</v>
      </c>
      <c r="Q46" s="265"/>
      <c r="R46" s="265"/>
      <c r="S46" s="265"/>
      <c r="T46" s="265"/>
      <c r="U46" s="247"/>
      <c r="V46" s="264" t="s">
        <v>100</v>
      </c>
      <c r="W46" s="265"/>
      <c r="X46" s="265"/>
      <c r="Y46" s="265"/>
      <c r="Z46" s="265"/>
      <c r="AA46" s="247"/>
      <c r="AB46" s="264" t="s">
        <v>101</v>
      </c>
      <c r="AC46" s="265"/>
      <c r="AD46" s="265"/>
      <c r="AE46" s="265"/>
      <c r="AF46" s="265"/>
      <c r="AG46" s="247"/>
      <c r="AH46" s="264" t="s">
        <v>102</v>
      </c>
      <c r="AI46" s="265"/>
      <c r="AJ46" s="265"/>
      <c r="AK46" s="265"/>
      <c r="AL46" s="265"/>
      <c r="AM46" s="247"/>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
      <c r="A47" s="1"/>
      <c r="B47" s="1"/>
      <c r="C47" s="1"/>
      <c r="D47" s="1"/>
      <c r="E47" s="1"/>
      <c r="F47" s="1"/>
      <c r="G47" s="1"/>
      <c r="H47" s="1"/>
      <c r="I47" s="1"/>
      <c r="J47" s="165"/>
      <c r="K47" s="153"/>
      <c r="L47" s="153"/>
      <c r="M47" s="153"/>
      <c r="N47" s="153"/>
      <c r="O47" s="154"/>
      <c r="P47" s="165"/>
      <c r="Q47" s="153"/>
      <c r="R47" s="153"/>
      <c r="S47" s="153"/>
      <c r="T47" s="153"/>
      <c r="U47" s="154"/>
      <c r="V47" s="165"/>
      <c r="W47" s="153"/>
      <c r="X47" s="153"/>
      <c r="Y47" s="153"/>
      <c r="Z47" s="153"/>
      <c r="AA47" s="154"/>
      <c r="AB47" s="165"/>
      <c r="AC47" s="153"/>
      <c r="AD47" s="153"/>
      <c r="AE47" s="153"/>
      <c r="AF47" s="153"/>
      <c r="AG47" s="154"/>
      <c r="AH47" s="165"/>
      <c r="AI47" s="153"/>
      <c r="AJ47" s="153"/>
      <c r="AK47" s="153"/>
      <c r="AL47" s="153"/>
      <c r="AM47" s="154"/>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
      <c r="A48" s="1"/>
      <c r="B48" s="1"/>
      <c r="C48" s="1"/>
      <c r="D48" s="1"/>
      <c r="E48" s="1"/>
      <c r="F48" s="1"/>
      <c r="G48" s="1"/>
      <c r="H48" s="1"/>
      <c r="I48" s="1"/>
      <c r="J48" s="165"/>
      <c r="K48" s="153"/>
      <c r="L48" s="153"/>
      <c r="M48" s="153"/>
      <c r="N48" s="153"/>
      <c r="O48" s="154"/>
      <c r="P48" s="165"/>
      <c r="Q48" s="153"/>
      <c r="R48" s="153"/>
      <c r="S48" s="153"/>
      <c r="T48" s="153"/>
      <c r="U48" s="154"/>
      <c r="V48" s="165"/>
      <c r="W48" s="153"/>
      <c r="X48" s="153"/>
      <c r="Y48" s="153"/>
      <c r="Z48" s="153"/>
      <c r="AA48" s="154"/>
      <c r="AB48" s="165"/>
      <c r="AC48" s="153"/>
      <c r="AD48" s="153"/>
      <c r="AE48" s="153"/>
      <c r="AF48" s="153"/>
      <c r="AG48" s="154"/>
      <c r="AH48" s="165"/>
      <c r="AI48" s="153"/>
      <c r="AJ48" s="153"/>
      <c r="AK48" s="153"/>
      <c r="AL48" s="153"/>
      <c r="AM48" s="154"/>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
      <c r="A49" s="1"/>
      <c r="B49" s="1"/>
      <c r="C49" s="1"/>
      <c r="D49" s="1"/>
      <c r="E49" s="1"/>
      <c r="F49" s="1"/>
      <c r="G49" s="1"/>
      <c r="H49" s="1"/>
      <c r="I49" s="1"/>
      <c r="J49" s="165"/>
      <c r="K49" s="153"/>
      <c r="L49" s="153"/>
      <c r="M49" s="153"/>
      <c r="N49" s="153"/>
      <c r="O49" s="154"/>
      <c r="P49" s="165"/>
      <c r="Q49" s="153"/>
      <c r="R49" s="153"/>
      <c r="S49" s="153"/>
      <c r="T49" s="153"/>
      <c r="U49" s="154"/>
      <c r="V49" s="165"/>
      <c r="W49" s="153"/>
      <c r="X49" s="153"/>
      <c r="Y49" s="153"/>
      <c r="Z49" s="153"/>
      <c r="AA49" s="154"/>
      <c r="AB49" s="165"/>
      <c r="AC49" s="153"/>
      <c r="AD49" s="153"/>
      <c r="AE49" s="153"/>
      <c r="AF49" s="153"/>
      <c r="AG49" s="154"/>
      <c r="AH49" s="165"/>
      <c r="AI49" s="153"/>
      <c r="AJ49" s="153"/>
      <c r="AK49" s="153"/>
      <c r="AL49" s="153"/>
      <c r="AM49" s="154"/>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
      <c r="A50" s="1"/>
      <c r="B50" s="1"/>
      <c r="C50" s="1"/>
      <c r="D50" s="1"/>
      <c r="E50" s="1"/>
      <c r="F50" s="1"/>
      <c r="G50" s="1"/>
      <c r="H50" s="1"/>
      <c r="I50" s="1"/>
      <c r="J50" s="165"/>
      <c r="K50" s="153"/>
      <c r="L50" s="153"/>
      <c r="M50" s="153"/>
      <c r="N50" s="153"/>
      <c r="O50" s="154"/>
      <c r="P50" s="165"/>
      <c r="Q50" s="153"/>
      <c r="R50" s="153"/>
      <c r="S50" s="153"/>
      <c r="T50" s="153"/>
      <c r="U50" s="154"/>
      <c r="V50" s="165"/>
      <c r="W50" s="153"/>
      <c r="X50" s="153"/>
      <c r="Y50" s="153"/>
      <c r="Z50" s="153"/>
      <c r="AA50" s="154"/>
      <c r="AB50" s="165"/>
      <c r="AC50" s="153"/>
      <c r="AD50" s="153"/>
      <c r="AE50" s="153"/>
      <c r="AF50" s="153"/>
      <c r="AG50" s="154"/>
      <c r="AH50" s="165"/>
      <c r="AI50" s="153"/>
      <c r="AJ50" s="153"/>
      <c r="AK50" s="153"/>
      <c r="AL50" s="153"/>
      <c r="AM50" s="154"/>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
      <c r="A51" s="1"/>
      <c r="B51" s="1"/>
      <c r="C51" s="1"/>
      <c r="D51" s="1"/>
      <c r="E51" s="1"/>
      <c r="F51" s="1"/>
      <c r="G51" s="1"/>
      <c r="H51" s="1"/>
      <c r="I51" s="1"/>
      <c r="J51" s="242"/>
      <c r="K51" s="266"/>
      <c r="L51" s="266"/>
      <c r="M51" s="266"/>
      <c r="N51" s="266"/>
      <c r="O51" s="245"/>
      <c r="P51" s="242"/>
      <c r="Q51" s="266"/>
      <c r="R51" s="266"/>
      <c r="S51" s="266"/>
      <c r="T51" s="266"/>
      <c r="U51" s="245"/>
      <c r="V51" s="242"/>
      <c r="W51" s="266"/>
      <c r="X51" s="266"/>
      <c r="Y51" s="266"/>
      <c r="Z51" s="266"/>
      <c r="AA51" s="245"/>
      <c r="AB51" s="242"/>
      <c r="AC51" s="266"/>
      <c r="AD51" s="266"/>
      <c r="AE51" s="266"/>
      <c r="AF51" s="266"/>
      <c r="AG51" s="245"/>
      <c r="AH51" s="242"/>
      <c r="AI51" s="266"/>
      <c r="AJ51" s="266"/>
      <c r="AK51" s="266"/>
      <c r="AL51" s="266"/>
      <c r="AM51" s="245"/>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
      <c r="A53" s="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1"/>
      <c r="AV53" s="1"/>
      <c r="AW53" s="1"/>
      <c r="AX53" s="1"/>
      <c r="AY53" s="1"/>
      <c r="AZ53" s="1"/>
      <c r="BA53" s="1"/>
      <c r="BB53" s="1"/>
      <c r="BC53" s="1"/>
      <c r="BD53" s="1"/>
      <c r="BE53" s="1"/>
      <c r="BF53" s="1"/>
      <c r="BG53" s="1"/>
      <c r="BH53" s="1"/>
      <c r="BI53" s="1"/>
    </row>
    <row r="54" spans="1:61" ht="15" customHeight="1" x14ac:dyDescent="0.2">
      <c r="A54" s="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1"/>
      <c r="AV54" s="1"/>
      <c r="AW54" s="1"/>
      <c r="AX54" s="1"/>
      <c r="AY54" s="1"/>
      <c r="AZ54" s="1"/>
      <c r="BA54" s="1"/>
      <c r="BB54" s="1"/>
      <c r="BC54" s="1"/>
      <c r="BD54" s="1"/>
      <c r="BE54" s="1"/>
      <c r="BF54" s="1"/>
      <c r="BG54" s="1"/>
      <c r="BH54" s="1"/>
      <c r="BI54" s="1"/>
    </row>
    <row r="55" spans="1:61"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
      <c r="B137" s="1"/>
      <c r="C137" s="1"/>
      <c r="D137" s="1"/>
      <c r="E137" s="1"/>
      <c r="F137" s="1"/>
      <c r="G137" s="1"/>
      <c r="H137" s="1"/>
      <c r="I137" s="1"/>
    </row>
    <row r="138" spans="2:61" ht="15.75" customHeight="1" x14ac:dyDescent="0.2">
      <c r="B138" s="1"/>
      <c r="C138" s="1"/>
      <c r="D138" s="1"/>
      <c r="E138" s="1"/>
      <c r="F138" s="1"/>
      <c r="G138" s="1"/>
      <c r="H138" s="1"/>
      <c r="I138" s="1"/>
    </row>
    <row r="139" spans="2:61" ht="15.75" customHeight="1" x14ac:dyDescent="0.2">
      <c r="B139" s="1"/>
      <c r="C139" s="1"/>
      <c r="D139" s="1"/>
      <c r="E139" s="1"/>
      <c r="F139" s="1"/>
      <c r="G139" s="1"/>
      <c r="H139" s="1"/>
      <c r="I139" s="1"/>
    </row>
    <row r="140" spans="2:61" ht="15.75" customHeight="1" x14ac:dyDescent="0.2">
      <c r="B140" s="1"/>
      <c r="C140" s="1"/>
      <c r="D140" s="1"/>
      <c r="E140" s="1"/>
      <c r="F140" s="1"/>
      <c r="G140" s="1"/>
      <c r="H140" s="1"/>
      <c r="I140" s="1"/>
    </row>
    <row r="141" spans="2:61" ht="15.75" customHeight="1" x14ac:dyDescent="0.15"/>
    <row r="142" spans="2:61" ht="15.75" customHeight="1" x14ac:dyDescent="0.15"/>
    <row r="143" spans="2:61" ht="15.75" customHeight="1" x14ac:dyDescent="0.15"/>
    <row r="144" spans="2:61"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2" workbookViewId="0">
      <selection activeCell="V26" sqref="V26"/>
    </sheetView>
  </sheetViews>
  <sheetFormatPr baseColWidth="10" defaultColWidth="12.5" defaultRowHeight="15" customHeight="1" x14ac:dyDescent="0.15"/>
  <cols>
    <col min="1" max="1" width="9.33203125" customWidth="1"/>
    <col min="2" max="18" width="5" customWidth="1"/>
    <col min="19" max="19" width="7.33203125" customWidth="1"/>
    <col min="20" max="21" width="5" customWidth="1"/>
    <col min="22" max="22" width="8.1640625" customWidth="1"/>
    <col min="23" max="23" width="5" customWidth="1"/>
    <col min="24" max="24" width="7.5" customWidth="1"/>
    <col min="25" max="26" width="5" customWidth="1"/>
    <col min="27" max="27" width="9.33203125" customWidth="1"/>
    <col min="28" max="28" width="5" customWidth="1"/>
    <col min="29" max="29" width="6.5" customWidth="1"/>
    <col min="30" max="33" width="5" customWidth="1"/>
    <col min="34" max="34" width="7.5" customWidth="1"/>
    <col min="35" max="39" width="5" customWidth="1"/>
    <col min="40" max="40" width="9.33203125" customWidth="1"/>
    <col min="41" max="46" width="5" customWidth="1"/>
    <col min="47" max="61" width="9.33203125" customWidth="1"/>
  </cols>
  <sheetData>
    <row r="1" spans="1:6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
      <c r="A2" s="1"/>
      <c r="B2" s="282" t="s">
        <v>103</v>
      </c>
      <c r="C2" s="153"/>
      <c r="D2" s="153"/>
      <c r="E2" s="153"/>
      <c r="F2" s="153"/>
      <c r="G2" s="153"/>
      <c r="H2" s="153"/>
      <c r="I2" s="153"/>
      <c r="J2" s="271" t="s">
        <v>15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3"/>
      <c r="AN2" s="1"/>
      <c r="AO2" s="1"/>
      <c r="AP2" s="1"/>
      <c r="AQ2" s="1"/>
      <c r="AR2" s="1"/>
      <c r="AS2" s="1"/>
      <c r="AT2" s="1"/>
      <c r="AU2" s="1"/>
      <c r="AV2" s="1"/>
      <c r="AW2" s="1"/>
      <c r="AX2" s="1"/>
      <c r="AY2" s="1"/>
      <c r="AZ2" s="1"/>
      <c r="BA2" s="1"/>
      <c r="BB2" s="1"/>
      <c r="BC2" s="1"/>
      <c r="BD2" s="1"/>
      <c r="BE2" s="1"/>
      <c r="BF2" s="1"/>
      <c r="BG2" s="1"/>
      <c r="BH2" s="1"/>
      <c r="BI2" s="1"/>
    </row>
    <row r="3" spans="1:61" ht="18.75" customHeight="1" x14ac:dyDescent="0.2">
      <c r="A3" s="1"/>
      <c r="B3" s="153"/>
      <c r="C3" s="153"/>
      <c r="D3" s="153"/>
      <c r="E3" s="153"/>
      <c r="F3" s="153"/>
      <c r="G3" s="153"/>
      <c r="H3" s="153"/>
      <c r="I3" s="153"/>
      <c r="J3" s="27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274"/>
      <c r="AN3" s="1"/>
      <c r="AO3" s="1"/>
      <c r="AP3" s="1"/>
      <c r="AQ3" s="1"/>
      <c r="AR3" s="1"/>
      <c r="AS3" s="1"/>
      <c r="AT3" s="1"/>
      <c r="AU3" s="1"/>
      <c r="AV3" s="1"/>
      <c r="AW3" s="1"/>
      <c r="AX3" s="1"/>
      <c r="AY3" s="1"/>
      <c r="AZ3" s="1"/>
      <c r="BA3" s="1"/>
      <c r="BB3" s="1"/>
      <c r="BC3" s="1"/>
      <c r="BD3" s="1"/>
      <c r="BE3" s="1"/>
      <c r="BF3" s="1"/>
      <c r="BG3" s="1"/>
      <c r="BH3" s="1"/>
      <c r="BI3" s="1"/>
    </row>
    <row r="4" spans="1:61" ht="15" customHeight="1" x14ac:dyDescent="0.2">
      <c r="A4" s="1"/>
      <c r="B4" s="153"/>
      <c r="C4" s="153"/>
      <c r="D4" s="153"/>
      <c r="E4" s="153"/>
      <c r="F4" s="153"/>
      <c r="G4" s="153"/>
      <c r="H4" s="153"/>
      <c r="I4" s="153"/>
      <c r="J4" s="230"/>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5"/>
      <c r="AN4" s="1"/>
      <c r="AO4" s="1"/>
      <c r="AP4" s="1"/>
      <c r="AQ4" s="1"/>
      <c r="AR4" s="1"/>
      <c r="AS4" s="1"/>
      <c r="AT4" s="1"/>
      <c r="AU4" s="1"/>
      <c r="AV4" s="1"/>
      <c r="AW4" s="1"/>
      <c r="AX4" s="1"/>
      <c r="AY4" s="1"/>
      <c r="AZ4" s="1"/>
      <c r="BA4" s="1"/>
      <c r="BB4" s="1"/>
      <c r="BC4" s="1"/>
      <c r="BD4" s="1"/>
      <c r="BE4" s="1"/>
      <c r="BF4" s="1"/>
      <c r="BG4" s="1"/>
      <c r="BH4" s="1"/>
      <c r="BI4" s="1"/>
    </row>
    <row r="5" spans="1:6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
      <c r="A6" s="1"/>
      <c r="B6" s="276" t="s">
        <v>88</v>
      </c>
      <c r="C6" s="272"/>
      <c r="D6" s="229"/>
      <c r="E6" s="281" t="s">
        <v>89</v>
      </c>
      <c r="F6" s="265"/>
      <c r="G6" s="265"/>
      <c r="H6" s="265"/>
      <c r="I6" s="247"/>
      <c r="J6" s="38" t="str">
        <f ca="1">IF(AND('Mapa final'!$AY$7="Muy Alta",'Mapa final'!$BA$7="Leve"),CONCATENATE("R1C",'Mapa final'!$AL$7),"")</f>
        <v/>
      </c>
      <c r="K6" s="39" t="str">
        <f ca="1">IF(AND('Mapa final'!$AY$8="Muy Alta",'Mapa final'!$BA$8="Leve"),CONCATENATE("R1C",'Mapa final'!$AL$8),"")</f>
        <v/>
      </c>
      <c r="L6" s="39" t="str">
        <f ca="1">IF(AND('Mapa final'!$AY$9="Muy Alta",'Mapa final'!$BA$9="Leve"),CONCATENATE("R1C",'Mapa final'!$AL$9),"")</f>
        <v/>
      </c>
      <c r="M6" s="39" t="str">
        <f ca="1">IF(AND('Mapa final'!$AY$10="Muy Alta",'Mapa final'!$BA$10="Leve"),CONCATENATE("R1C",'Mapa final'!$AL$10),"")</f>
        <v/>
      </c>
      <c r="N6" s="39" t="str">
        <f ca="1">IF(AND('Mapa final'!$AY$11="Muy Alta",'Mapa final'!$BA$11="Leve"),CONCATENATE("R1C",'Mapa final'!$AL$11),"")</f>
        <v/>
      </c>
      <c r="O6" s="40" t="e">
        <f>IF(AND('Mapa final'!#REF!="Muy Alta",'Mapa final'!#REF!="Leve"),CONCATENATE("R1C",'Mapa final'!#REF!),"")</f>
        <v>#REF!</v>
      </c>
      <c r="P6" s="38" t="str">
        <f ca="1">IF(AND('Mapa final'!$AY$7="Muy Alta",'Mapa final'!$BA$7="Menor"),CONCATENATE("R1C",'Mapa final'!$AL$7),"")</f>
        <v/>
      </c>
      <c r="Q6" s="39" t="str">
        <f ca="1">IF(AND('Mapa final'!$AY$8="Muy Alta",'Mapa final'!$BA$8="Menor"),CONCATENATE("R1C",'Mapa final'!$AL$8),"")</f>
        <v/>
      </c>
      <c r="R6" s="39" t="str">
        <f ca="1">IF(AND('Mapa final'!$AY$9="Muy Alta",'Mapa final'!$BA$9="Menor"),CONCATENATE("R1C",'Mapa final'!$AL$9),"")</f>
        <v/>
      </c>
      <c r="S6" s="39" t="str">
        <f ca="1">IF(AND('Mapa final'!$AY$10="Muy Alta",'Mapa final'!$BA$10="Menor"),CONCATENATE("R1C",'Mapa final'!$AL$10),"")</f>
        <v/>
      </c>
      <c r="T6" s="39" t="str">
        <f ca="1">IF(AND('Mapa final'!$AY$11="Muy Alta",'Mapa final'!$BA$11="Menor"),CONCATENATE("R1C",'Mapa final'!$AL$11),"")</f>
        <v/>
      </c>
      <c r="U6" s="40" t="e">
        <f>IF(AND('Mapa final'!#REF!="Muy Alta",'Mapa final'!#REF!="Menor"),CONCATENATE("R1C",'Mapa final'!#REF!),"")</f>
        <v>#REF!</v>
      </c>
      <c r="V6" s="38" t="str">
        <f ca="1">IF(AND('Mapa final'!$AY$7="Muy Alta",'Mapa final'!$BA$7="Moderado"),CONCATENATE("R1C",'Mapa final'!$AL$7),"")</f>
        <v/>
      </c>
      <c r="W6" s="39" t="str">
        <f ca="1">IF(AND('Mapa final'!$AY$8="Muy Alta",'Mapa final'!$BA$8="Moderado"),CONCATENATE("R1C",'Mapa final'!$AL$8),"")</f>
        <v/>
      </c>
      <c r="X6" s="39" t="str">
        <f ca="1">IF(AND('Mapa final'!$AY$9="Muy Alta",'Mapa final'!$BA$9="Moderado"),CONCATENATE("R1C",'Mapa final'!$AL$9),"")</f>
        <v/>
      </c>
      <c r="Y6" s="39" t="str">
        <f ca="1">IF(AND('Mapa final'!$AY$10="Muy Alta",'Mapa final'!$BA$10="Moderado"),CONCATENATE("R1C",'Mapa final'!$AL$10),"")</f>
        <v/>
      </c>
      <c r="Z6" s="39" t="str">
        <f ca="1">IF(AND('Mapa final'!$AY$11="Muy Alta",'Mapa final'!$BA$11="Moderado"),CONCATENATE("R1C",'Mapa final'!$AL$11),"")</f>
        <v/>
      </c>
      <c r="AA6" s="40" t="e">
        <f>IF(AND('Mapa final'!#REF!="Muy Alta",'Mapa final'!#REF!="Moderado"),CONCATENATE("R1C",'Mapa final'!#REF!),"")</f>
        <v>#REF!</v>
      </c>
      <c r="AB6" s="38" t="str">
        <f ca="1">IF(AND('Mapa final'!$AY$7="Muy Alta",'Mapa final'!$BA$7="Mayor"),CONCATENATE("R1C",'Mapa final'!$AL$7),"")</f>
        <v/>
      </c>
      <c r="AC6" s="39" t="str">
        <f ca="1">IF(AND('Mapa final'!$AY$8="Muy Alta",'Mapa final'!$BA$8="Mayor"),CONCATENATE("R1C",'Mapa final'!$AL$8),"")</f>
        <v/>
      </c>
      <c r="AD6" s="39" t="str">
        <f ca="1">IF(AND('Mapa final'!$AY$9="Muy Alta",'Mapa final'!$BA$9="Mayor"),CONCATENATE("R1C",'Mapa final'!$AL$9),"")</f>
        <v/>
      </c>
      <c r="AE6" s="39" t="str">
        <f ca="1">IF(AND('Mapa final'!$AY$10="Muy Alta",'Mapa final'!$BA$10="Mayor"),CONCATENATE("R1C",'Mapa final'!$AL$10),"")</f>
        <v/>
      </c>
      <c r="AF6" s="39" t="str">
        <f ca="1">IF(AND('Mapa final'!$AY$11="Muy Alta",'Mapa final'!$BA$11="Mayor"),CONCATENATE("R1C",'Mapa final'!$AL$11),"")</f>
        <v/>
      </c>
      <c r="AG6" s="40" t="e">
        <f>IF(AND('Mapa final'!#REF!="Muy Alta",'Mapa final'!#REF!="Mayor"),CONCATENATE("R1C",'Mapa final'!#REF!),"")</f>
        <v>#REF!</v>
      </c>
      <c r="AH6" s="41" t="str">
        <f ca="1">IF(AND('Mapa final'!$AY$7="Muy Alta",'Mapa final'!$BA$7="Catastrófico"),CONCATENATE("R1C",'Mapa final'!$AL$7),"")</f>
        <v/>
      </c>
      <c r="AI6" s="42" t="str">
        <f ca="1">IF(AND('Mapa final'!$AY$8="Muy Alta",'Mapa final'!$BA$8="Catastrófico"),CONCATENATE("R1C",'Mapa final'!$AL$8),"")</f>
        <v/>
      </c>
      <c r="AJ6" s="42" t="str">
        <f ca="1">IF(AND('Mapa final'!$AY$9="Muy Alta",'Mapa final'!$BA$9="Catastrófico"),CONCATENATE("R1C",'Mapa final'!$AL$9),"")</f>
        <v/>
      </c>
      <c r="AK6" s="42" t="str">
        <f ca="1">IF(AND('Mapa final'!$AY$10="Muy Alta",'Mapa final'!$BA$10="Catastrófico"),CONCATENATE("R1C",'Mapa final'!$AL$10),"")</f>
        <v/>
      </c>
      <c r="AL6" s="42" t="str">
        <f ca="1">IF(AND('Mapa final'!$AY$11="Muy Alta",'Mapa final'!$BA$11="Catastrófico"),CONCATENATE("R1C",'Mapa final'!$AL$11),"")</f>
        <v/>
      </c>
      <c r="AM6" s="43" t="e">
        <f>IF(AND('Mapa final'!#REF!="Muy Alta",'Mapa final'!#REF!="Catastrófico"),CONCATENATE("R1C",'Mapa final'!#REF!),"")</f>
        <v>#REF!</v>
      </c>
      <c r="AN6" s="1"/>
      <c r="AO6" s="279" t="s">
        <v>90</v>
      </c>
      <c r="AP6" s="254"/>
      <c r="AQ6" s="254"/>
      <c r="AR6" s="254"/>
      <c r="AS6" s="254"/>
      <c r="AT6" s="255"/>
      <c r="AU6" s="1"/>
      <c r="AV6" s="1"/>
      <c r="AW6" s="1"/>
      <c r="AX6" s="1"/>
      <c r="AY6" s="1"/>
      <c r="AZ6" s="1"/>
      <c r="BA6" s="1"/>
      <c r="BB6" s="1"/>
      <c r="BC6" s="1"/>
      <c r="BD6" s="1"/>
      <c r="BE6" s="1"/>
      <c r="BF6" s="1"/>
      <c r="BG6" s="1"/>
      <c r="BH6" s="1"/>
      <c r="BI6" s="1"/>
    </row>
    <row r="7" spans="1:61" ht="15" customHeight="1" x14ac:dyDescent="0.2">
      <c r="A7" s="1"/>
      <c r="B7" s="273"/>
      <c r="C7" s="153"/>
      <c r="D7" s="154"/>
      <c r="E7" s="165"/>
      <c r="F7" s="153"/>
      <c r="G7" s="153"/>
      <c r="H7" s="153"/>
      <c r="I7" s="154"/>
      <c r="J7" s="44" t="e">
        <f>IF(AND('Mapa final'!#REF!="Muy Alta",'Mapa final'!#REF!="Leve"),CONCATENATE("R2C",'Mapa final'!#REF!),"")</f>
        <v>#REF!</v>
      </c>
      <c r="K7" s="45" t="e">
        <f>IF(AND('Mapa final'!#REF!="Muy Alta",'Mapa final'!#REF!="Leve"),CONCATENATE("R2C",'Mapa final'!#REF!),"")</f>
        <v>#REF!</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e">
        <f>IF(AND('Mapa final'!#REF!="Muy Alta",'Mapa final'!#REF!="Menor"),CONCATENATE("R2C",'Mapa final'!#REF!),"")</f>
        <v>#REF!</v>
      </c>
      <c r="Q7" s="45" t="e">
        <f>IF(AND('Mapa final'!#REF!="Muy Alta",'Mapa final'!#REF!="Menor"),CONCATENATE("R2C",'Mapa final'!#REF!),"")</f>
        <v>#REF!</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e">
        <f>IF(AND('Mapa final'!#REF!="Muy Alta",'Mapa final'!#REF!="Moderado"),CONCATENATE("R2C",'Mapa final'!#REF!),"")</f>
        <v>#REF!</v>
      </c>
      <c r="W7" s="45" t="e">
        <f>IF(AND('Mapa final'!#REF!="Muy Alta",'Mapa final'!#REF!="Moderado"),CONCATENATE("R2C",'Mapa final'!#REF!),"")</f>
        <v>#REF!</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e">
        <f>IF(AND('Mapa final'!#REF!="Muy Alta",'Mapa final'!#REF!="Mayor"),CONCATENATE("R2C",'Mapa final'!#REF!),"")</f>
        <v>#REF!</v>
      </c>
      <c r="AC7" s="45" t="e">
        <f>IF(AND('Mapa final'!#REF!="Muy Alta",'Mapa final'!#REF!="Mayor"),CONCATENATE("R2C",'Mapa final'!#REF!),"")</f>
        <v>#REF!</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e">
        <f>IF(AND('Mapa final'!#REF!="Muy Alta",'Mapa final'!#REF!="Catastrófico"),CONCATENATE("R2C",'Mapa final'!#REF!),"")</f>
        <v>#REF!</v>
      </c>
      <c r="AI7" s="48" t="e">
        <f>IF(AND('Mapa final'!#REF!="Muy Alta",'Mapa final'!#REF!="Catastrófico"),CONCATENATE("R2C",'Mapa final'!#REF!),"")</f>
        <v>#REF!</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1"/>
      <c r="AO7" s="256"/>
      <c r="AP7" s="153"/>
      <c r="AQ7" s="153"/>
      <c r="AR7" s="153"/>
      <c r="AS7" s="153"/>
      <c r="AT7" s="257"/>
      <c r="AU7" s="1"/>
      <c r="AV7" s="1"/>
      <c r="AW7" s="1"/>
      <c r="AX7" s="1"/>
      <c r="AY7" s="1"/>
      <c r="AZ7" s="1"/>
      <c r="BA7" s="1"/>
      <c r="BB7" s="1"/>
      <c r="BC7" s="1"/>
      <c r="BD7" s="1"/>
      <c r="BE7" s="1"/>
      <c r="BF7" s="1"/>
      <c r="BG7" s="1"/>
      <c r="BH7" s="1"/>
      <c r="BI7" s="1"/>
    </row>
    <row r="8" spans="1:61" ht="15" customHeight="1" x14ac:dyDescent="0.2">
      <c r="A8" s="1"/>
      <c r="B8" s="273"/>
      <c r="C8" s="153"/>
      <c r="D8" s="154"/>
      <c r="E8" s="165"/>
      <c r="F8" s="153"/>
      <c r="G8" s="153"/>
      <c r="H8" s="153"/>
      <c r="I8" s="154"/>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1"/>
      <c r="AO8" s="256"/>
      <c r="AP8" s="153"/>
      <c r="AQ8" s="153"/>
      <c r="AR8" s="153"/>
      <c r="AS8" s="153"/>
      <c r="AT8" s="257"/>
      <c r="AU8" s="1"/>
      <c r="AV8" s="1"/>
      <c r="AW8" s="1"/>
      <c r="AX8" s="1"/>
      <c r="AY8" s="1"/>
      <c r="AZ8" s="1"/>
      <c r="BA8" s="1"/>
      <c r="BB8" s="1"/>
      <c r="BC8" s="1"/>
      <c r="BD8" s="1"/>
      <c r="BE8" s="1"/>
      <c r="BF8" s="1"/>
      <c r="BG8" s="1"/>
      <c r="BH8" s="1"/>
      <c r="BI8" s="1"/>
    </row>
    <row r="9" spans="1:61" ht="15" customHeight="1" x14ac:dyDescent="0.2">
      <c r="A9" s="1"/>
      <c r="B9" s="273"/>
      <c r="C9" s="153"/>
      <c r="D9" s="154"/>
      <c r="E9" s="165"/>
      <c r="F9" s="153"/>
      <c r="G9" s="153"/>
      <c r="H9" s="153"/>
      <c r="I9" s="154"/>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1"/>
      <c r="AO9" s="256"/>
      <c r="AP9" s="153"/>
      <c r="AQ9" s="153"/>
      <c r="AR9" s="153"/>
      <c r="AS9" s="153"/>
      <c r="AT9" s="257"/>
      <c r="AU9" s="1"/>
      <c r="AV9" s="1"/>
      <c r="AW9" s="1"/>
      <c r="AX9" s="1"/>
      <c r="AY9" s="1"/>
      <c r="AZ9" s="1"/>
      <c r="BA9" s="1"/>
      <c r="BB9" s="1"/>
      <c r="BC9" s="1"/>
      <c r="BD9" s="1"/>
      <c r="BE9" s="1"/>
      <c r="BF9" s="1"/>
      <c r="BG9" s="1"/>
      <c r="BH9" s="1"/>
      <c r="BI9" s="1"/>
    </row>
    <row r="10" spans="1:61" ht="15" customHeight="1" x14ac:dyDescent="0.2">
      <c r="A10" s="1"/>
      <c r="B10" s="273"/>
      <c r="C10" s="153"/>
      <c r="D10" s="154"/>
      <c r="E10" s="165"/>
      <c r="F10" s="153"/>
      <c r="G10" s="153"/>
      <c r="H10" s="153"/>
      <c r="I10" s="154"/>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1"/>
      <c r="AO10" s="256"/>
      <c r="AP10" s="153"/>
      <c r="AQ10" s="153"/>
      <c r="AR10" s="153"/>
      <c r="AS10" s="153"/>
      <c r="AT10" s="257"/>
      <c r="AU10" s="1"/>
      <c r="AV10" s="1"/>
      <c r="AW10" s="1"/>
      <c r="AX10" s="1"/>
      <c r="AY10" s="1"/>
      <c r="AZ10" s="1"/>
      <c r="BA10" s="1"/>
      <c r="BB10" s="1"/>
      <c r="BC10" s="1"/>
      <c r="BD10" s="1"/>
      <c r="BE10" s="1"/>
      <c r="BF10" s="1"/>
      <c r="BG10" s="1"/>
      <c r="BH10" s="1"/>
      <c r="BI10" s="1"/>
    </row>
    <row r="11" spans="1:61" ht="15" customHeight="1" x14ac:dyDescent="0.2">
      <c r="A11" s="1"/>
      <c r="B11" s="273"/>
      <c r="C11" s="153"/>
      <c r="D11" s="154"/>
      <c r="E11" s="165"/>
      <c r="F11" s="153"/>
      <c r="G11" s="153"/>
      <c r="H11" s="153"/>
      <c r="I11" s="154"/>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1"/>
      <c r="AO11" s="256"/>
      <c r="AP11" s="153"/>
      <c r="AQ11" s="153"/>
      <c r="AR11" s="153"/>
      <c r="AS11" s="153"/>
      <c r="AT11" s="257"/>
      <c r="AU11" s="1"/>
      <c r="AV11" s="1"/>
      <c r="AW11" s="1"/>
      <c r="AX11" s="1"/>
      <c r="AY11" s="1"/>
      <c r="AZ11" s="1"/>
      <c r="BA11" s="1"/>
      <c r="BB11" s="1"/>
      <c r="BC11" s="1"/>
      <c r="BD11" s="1"/>
      <c r="BE11" s="1"/>
      <c r="BF11" s="1"/>
      <c r="BG11" s="1"/>
      <c r="BH11" s="1"/>
      <c r="BI11" s="1"/>
    </row>
    <row r="12" spans="1:61" ht="15" customHeight="1" x14ac:dyDescent="0.2">
      <c r="A12" s="1"/>
      <c r="B12" s="273"/>
      <c r="C12" s="153"/>
      <c r="D12" s="154"/>
      <c r="E12" s="165"/>
      <c r="F12" s="153"/>
      <c r="G12" s="153"/>
      <c r="H12" s="153"/>
      <c r="I12" s="154"/>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1"/>
      <c r="AO12" s="256"/>
      <c r="AP12" s="153"/>
      <c r="AQ12" s="153"/>
      <c r="AR12" s="153"/>
      <c r="AS12" s="153"/>
      <c r="AT12" s="257"/>
      <c r="AU12" s="1"/>
      <c r="AV12" s="1"/>
      <c r="AW12" s="1"/>
      <c r="AX12" s="1"/>
      <c r="AY12" s="1"/>
      <c r="AZ12" s="1"/>
      <c r="BA12" s="1"/>
      <c r="BB12" s="1"/>
      <c r="BC12" s="1"/>
      <c r="BD12" s="1"/>
      <c r="BE12" s="1"/>
      <c r="BF12" s="1"/>
      <c r="BG12" s="1"/>
      <c r="BH12" s="1"/>
      <c r="BI12" s="1"/>
    </row>
    <row r="13" spans="1:61" ht="15" customHeight="1" x14ac:dyDescent="0.2">
      <c r="A13" s="1"/>
      <c r="B13" s="273"/>
      <c r="C13" s="153"/>
      <c r="D13" s="154"/>
      <c r="E13" s="165"/>
      <c r="F13" s="153"/>
      <c r="G13" s="153"/>
      <c r="H13" s="153"/>
      <c r="I13" s="154"/>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1"/>
      <c r="AO13" s="256"/>
      <c r="AP13" s="153"/>
      <c r="AQ13" s="153"/>
      <c r="AR13" s="153"/>
      <c r="AS13" s="153"/>
      <c r="AT13" s="257"/>
      <c r="AU13" s="1"/>
      <c r="AV13" s="1"/>
      <c r="AW13" s="1"/>
      <c r="AX13" s="1"/>
      <c r="AY13" s="1"/>
      <c r="AZ13" s="1"/>
      <c r="BA13" s="1"/>
      <c r="BB13" s="1"/>
      <c r="BC13" s="1"/>
      <c r="BD13" s="1"/>
      <c r="BE13" s="1"/>
      <c r="BF13" s="1"/>
      <c r="BG13" s="1"/>
      <c r="BH13" s="1"/>
      <c r="BI13" s="1"/>
    </row>
    <row r="14" spans="1:61" ht="15" customHeight="1" x14ac:dyDescent="0.2">
      <c r="A14" s="1"/>
      <c r="B14" s="273"/>
      <c r="C14" s="153"/>
      <c r="D14" s="154"/>
      <c r="E14" s="165"/>
      <c r="F14" s="153"/>
      <c r="G14" s="153"/>
      <c r="H14" s="153"/>
      <c r="I14" s="154"/>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1"/>
      <c r="AO14" s="256"/>
      <c r="AP14" s="153"/>
      <c r="AQ14" s="153"/>
      <c r="AR14" s="153"/>
      <c r="AS14" s="153"/>
      <c r="AT14" s="257"/>
      <c r="AU14" s="1"/>
      <c r="AV14" s="1"/>
      <c r="AW14" s="1"/>
      <c r="AX14" s="1"/>
      <c r="AY14" s="1"/>
      <c r="AZ14" s="1"/>
      <c r="BA14" s="1"/>
      <c r="BB14" s="1"/>
      <c r="BC14" s="1"/>
      <c r="BD14" s="1"/>
      <c r="BE14" s="1"/>
      <c r="BF14" s="1"/>
      <c r="BG14" s="1"/>
      <c r="BH14" s="1"/>
      <c r="BI14" s="1"/>
    </row>
    <row r="15" spans="1:61" ht="15.75" customHeight="1" x14ac:dyDescent="0.2">
      <c r="A15" s="1"/>
      <c r="B15" s="273"/>
      <c r="C15" s="153"/>
      <c r="D15" s="154"/>
      <c r="E15" s="242"/>
      <c r="F15" s="266"/>
      <c r="G15" s="266"/>
      <c r="H15" s="266"/>
      <c r="I15" s="245"/>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1"/>
      <c r="AO15" s="258"/>
      <c r="AP15" s="259"/>
      <c r="AQ15" s="259"/>
      <c r="AR15" s="259"/>
      <c r="AS15" s="259"/>
      <c r="AT15" s="260"/>
      <c r="AU15" s="1"/>
      <c r="AV15" s="1"/>
      <c r="AW15" s="1"/>
      <c r="AX15" s="1"/>
      <c r="AY15" s="1"/>
      <c r="AZ15" s="1"/>
      <c r="BA15" s="1"/>
      <c r="BB15" s="1"/>
      <c r="BC15" s="1"/>
      <c r="BD15" s="1"/>
      <c r="BE15" s="1"/>
      <c r="BF15" s="1"/>
      <c r="BG15" s="1"/>
      <c r="BH15" s="1"/>
      <c r="BI15" s="1"/>
    </row>
    <row r="16" spans="1:61" ht="15" customHeight="1" x14ac:dyDescent="0.2">
      <c r="A16" s="1"/>
      <c r="B16" s="273"/>
      <c r="C16" s="153"/>
      <c r="D16" s="154"/>
      <c r="E16" s="281" t="s">
        <v>91</v>
      </c>
      <c r="F16" s="265"/>
      <c r="G16" s="265"/>
      <c r="H16" s="265"/>
      <c r="I16" s="265"/>
      <c r="J16" s="56" t="str">
        <f ca="1">IF(AND('Mapa final'!$AY$7="Alta",'Mapa final'!$BA$7="Leve"),CONCATENATE("R1C",'Mapa final'!$AL$7),"")</f>
        <v/>
      </c>
      <c r="K16" s="57" t="str">
        <f ca="1">IF(AND('Mapa final'!$AY$8="Alta",'Mapa final'!$BA$8="Leve"),CONCATENATE("R1C",'Mapa final'!$AL$8),"")</f>
        <v/>
      </c>
      <c r="L16" s="57" t="str">
        <f ca="1">IF(AND('Mapa final'!$AY$9="Alta",'Mapa final'!$BA$9="Leve"),CONCATENATE("R1C",'Mapa final'!$AL$9),"")</f>
        <v/>
      </c>
      <c r="M16" s="57" t="str">
        <f ca="1">IF(AND('Mapa final'!$AY$10="Alta",'Mapa final'!$BA$10="Leve"),CONCATENATE("R1C",'Mapa final'!$AL$10),"")</f>
        <v/>
      </c>
      <c r="N16" s="57" t="str">
        <f ca="1">IF(AND('Mapa final'!$AY$11="Alta",'Mapa final'!$BA$11="Leve"),CONCATENATE("R1C",'Mapa final'!$AL$11),"")</f>
        <v/>
      </c>
      <c r="O16" s="58" t="e">
        <f>IF(AND('Mapa final'!#REF!="Alta",'Mapa final'!#REF!="Leve"),CONCATENATE("R1C",'Mapa final'!#REF!),"")</f>
        <v>#REF!</v>
      </c>
      <c r="P16" s="56" t="str">
        <f ca="1">IF(AND('Mapa final'!$AY$7="Alta",'Mapa final'!$BA$7="Menor"),CONCATENATE("R1C",'Mapa final'!$AL$7),"")</f>
        <v/>
      </c>
      <c r="Q16" s="57" t="str">
        <f ca="1">IF(AND('Mapa final'!$AY$8="Alta",'Mapa final'!$BA$8="Menor"),CONCATENATE("R1C",'Mapa final'!$AL$8),"")</f>
        <v/>
      </c>
      <c r="R16" s="57" t="str">
        <f ca="1">IF(AND('Mapa final'!$AY$9="Alta",'Mapa final'!$BA$9="Menor"),CONCATENATE("R1C",'Mapa final'!$AL$9),"")</f>
        <v/>
      </c>
      <c r="S16" s="57" t="str">
        <f ca="1">IF(AND('Mapa final'!$AY$10="Alta",'Mapa final'!$BA$10="Menor"),CONCATENATE("R1C",'Mapa final'!$AL$10),"")</f>
        <v/>
      </c>
      <c r="T16" s="57" t="str">
        <f ca="1">IF(AND('Mapa final'!$AY$11="Alta",'Mapa final'!$BA$11="Menor"),CONCATENATE("R1C",'Mapa final'!$AL$11),"")</f>
        <v/>
      </c>
      <c r="U16" s="58" t="e">
        <f>IF(AND('Mapa final'!#REF!="Alta",'Mapa final'!#REF!="Menor"),CONCATENATE("R1C",'Mapa final'!#REF!),"")</f>
        <v>#REF!</v>
      </c>
      <c r="V16" s="38" t="str">
        <f ca="1">IF(AND('Mapa final'!$AY$7="Alta",'Mapa final'!$BA$7="Moderado"),CONCATENATE("R1C",'Mapa final'!$AL$7),"")</f>
        <v/>
      </c>
      <c r="W16" s="39" t="str">
        <f ca="1">IF(AND('Mapa final'!$AY$8="Alta",'Mapa final'!$BA$8="Moderado"),CONCATENATE("R1C",'Mapa final'!$AL$8),"")</f>
        <v/>
      </c>
      <c r="X16" s="39" t="str">
        <f ca="1">IF(AND('Mapa final'!$AY$9="Alta",'Mapa final'!$BA$9="Moderado"),CONCATENATE("R1C",'Mapa final'!$AL$9),"")</f>
        <v/>
      </c>
      <c r="Y16" s="39" t="str">
        <f ca="1">IF(AND('Mapa final'!$AY$10="Alta",'Mapa final'!$BA$10="Moderado"),CONCATENATE("R1C",'Mapa final'!$AL$10),"")</f>
        <v/>
      </c>
      <c r="Z16" s="39" t="str">
        <f ca="1">IF(AND('Mapa final'!$AY$11="Alta",'Mapa final'!$BA$11="Moderado"),CONCATENATE("R1C",'Mapa final'!$AL$11),"")</f>
        <v/>
      </c>
      <c r="AA16" s="40" t="e">
        <f>IF(AND('Mapa final'!#REF!="Alta",'Mapa final'!#REF!="Moderado"),CONCATENATE("R1C",'Mapa final'!#REF!),"")</f>
        <v>#REF!</v>
      </c>
      <c r="AB16" s="38" t="str">
        <f ca="1">IF(AND('Mapa final'!$AY$7="Alta",'Mapa final'!$BA$7="Mayor"),CONCATENATE("R1C",'Mapa final'!$AL$7),"")</f>
        <v/>
      </c>
      <c r="AC16" s="39" t="str">
        <f ca="1">IF(AND('Mapa final'!$AY$8="Alta",'Mapa final'!$BA$8="Mayor"),CONCATENATE("R1C",'Mapa final'!$AL$8),"")</f>
        <v/>
      </c>
      <c r="AD16" s="39" t="str">
        <f ca="1">IF(AND('Mapa final'!$AY$9="Alta",'Mapa final'!$BA$9="Mayor"),CONCATENATE("R1C",'Mapa final'!$AL$9),"")</f>
        <v/>
      </c>
      <c r="AE16" s="39" t="str">
        <f ca="1">IF(AND('Mapa final'!$AY$10="Alta",'Mapa final'!$BA$10="Mayor"),CONCATENATE("R1C",'Mapa final'!$AL$10),"")</f>
        <v/>
      </c>
      <c r="AF16" s="39" t="str">
        <f ca="1">IF(AND('Mapa final'!$AY$11="Alta",'Mapa final'!$BA$11="Mayor"),CONCATENATE("R1C",'Mapa final'!$AL$11),"")</f>
        <v/>
      </c>
      <c r="AG16" s="40" t="e">
        <f>IF(AND('Mapa final'!#REF!="Alta",'Mapa final'!#REF!="Mayor"),CONCATENATE("R1C",'Mapa final'!#REF!),"")</f>
        <v>#REF!</v>
      </c>
      <c r="AH16" s="41" t="str">
        <f ca="1">IF(AND('Mapa final'!$AY$7="Alta",'Mapa final'!$BA$7="Catastrófico"),CONCATENATE("R1C",'Mapa final'!$AL$7),"")</f>
        <v/>
      </c>
      <c r="AI16" s="42" t="str">
        <f ca="1">IF(AND('Mapa final'!$AY$8="Alta",'Mapa final'!$BA$8="Catastrófico"),CONCATENATE("R1C",'Mapa final'!$AL$8),"")</f>
        <v/>
      </c>
      <c r="AJ16" s="42" t="str">
        <f ca="1">IF(AND('Mapa final'!$AY$9="Alta",'Mapa final'!$BA$9="Catastrófico"),CONCATENATE("R1C",'Mapa final'!$AL$9),"")</f>
        <v/>
      </c>
      <c r="AK16" s="42" t="str">
        <f ca="1">IF(AND('Mapa final'!$AY$10="Alta",'Mapa final'!$BA$10="Catastrófico"),CONCATENATE("R1C",'Mapa final'!$AL$10),"")</f>
        <v/>
      </c>
      <c r="AL16" s="42" t="str">
        <f ca="1">IF(AND('Mapa final'!$AY$11="Alta",'Mapa final'!$BA$11="Catastrófico"),CONCATENATE("R1C",'Mapa final'!$AL$11),"")</f>
        <v/>
      </c>
      <c r="AM16" s="43" t="e">
        <f>IF(AND('Mapa final'!#REF!="Alta",'Mapa final'!#REF!="Catastrófico"),CONCATENATE("R1C",'Mapa final'!#REF!),"")</f>
        <v>#REF!</v>
      </c>
      <c r="AN16" s="1"/>
      <c r="AO16" s="277" t="s">
        <v>92</v>
      </c>
      <c r="AP16" s="254"/>
      <c r="AQ16" s="254"/>
      <c r="AR16" s="254"/>
      <c r="AS16" s="254"/>
      <c r="AT16" s="255"/>
      <c r="AU16" s="1"/>
      <c r="AV16" s="1"/>
      <c r="AW16" s="1"/>
      <c r="AX16" s="1"/>
      <c r="AY16" s="1"/>
      <c r="AZ16" s="1"/>
      <c r="BA16" s="1"/>
      <c r="BB16" s="1"/>
      <c r="BC16" s="1"/>
      <c r="BD16" s="1"/>
      <c r="BE16" s="1"/>
      <c r="BF16" s="1"/>
      <c r="BG16" s="1"/>
      <c r="BH16" s="1"/>
      <c r="BI16" s="1"/>
    </row>
    <row r="17" spans="1:61" ht="15" customHeight="1" x14ac:dyDescent="0.2">
      <c r="A17" s="1"/>
      <c r="B17" s="273"/>
      <c r="C17" s="153"/>
      <c r="D17" s="154"/>
      <c r="E17" s="165"/>
      <c r="F17" s="153"/>
      <c r="G17" s="153"/>
      <c r="H17" s="153"/>
      <c r="I17" s="153"/>
      <c r="J17" s="59" t="e">
        <f>IF(AND('Mapa final'!#REF!="Alta",'Mapa final'!#REF!="Leve"),CONCATENATE("R2C",'Mapa final'!#REF!),"")</f>
        <v>#REF!</v>
      </c>
      <c r="K17" s="60" t="e">
        <f>IF(AND('Mapa final'!#REF!="Alta",'Mapa final'!#REF!="Leve"),CONCATENATE("R2C",'Mapa final'!#REF!),"")</f>
        <v>#REF!</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e">
        <f>IF(AND('Mapa final'!#REF!="Alta",'Mapa final'!#REF!="Menor"),CONCATENATE("R2C",'Mapa final'!#REF!),"")</f>
        <v>#REF!</v>
      </c>
      <c r="Q17" s="60" t="e">
        <f>IF(AND('Mapa final'!#REF!="Alta",'Mapa final'!#REF!="Menor"),CONCATENATE("R2C",'Mapa final'!#REF!),"")</f>
        <v>#REF!</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e">
        <f>IF(AND('Mapa final'!#REF!="Alta",'Mapa final'!#REF!="Moderado"),CONCATENATE("R2C",'Mapa final'!#REF!),"")</f>
        <v>#REF!</v>
      </c>
      <c r="W17" s="45" t="e">
        <f>IF(AND('Mapa final'!#REF!="Alta",'Mapa final'!#REF!="Moderado"),CONCATENATE("R2C",'Mapa final'!#REF!),"")</f>
        <v>#REF!</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e">
        <f>IF(AND('Mapa final'!#REF!="Alta",'Mapa final'!#REF!="Mayor"),CONCATENATE("R2C",'Mapa final'!#REF!),"")</f>
        <v>#REF!</v>
      </c>
      <c r="AC17" s="45" t="e">
        <f>IF(AND('Mapa final'!#REF!="Alta",'Mapa final'!#REF!="Mayor"),CONCATENATE("R2C",'Mapa final'!#REF!),"")</f>
        <v>#REF!</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e">
        <f>IF(AND('Mapa final'!#REF!="Alta",'Mapa final'!#REF!="Catastrófico"),CONCATENATE("R2C",'Mapa final'!#REF!),"")</f>
        <v>#REF!</v>
      </c>
      <c r="AI17" s="48" t="e">
        <f>IF(AND('Mapa final'!#REF!="Alta",'Mapa final'!#REF!="Catastrófico"),CONCATENATE("R2C",'Mapa final'!#REF!),"")</f>
        <v>#REF!</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1"/>
      <c r="AO17" s="256"/>
      <c r="AP17" s="153"/>
      <c r="AQ17" s="153"/>
      <c r="AR17" s="153"/>
      <c r="AS17" s="153"/>
      <c r="AT17" s="257"/>
      <c r="AU17" s="1"/>
      <c r="AV17" s="1"/>
      <c r="AW17" s="1"/>
      <c r="AX17" s="1"/>
      <c r="AY17" s="1"/>
      <c r="AZ17" s="1"/>
      <c r="BA17" s="1"/>
      <c r="BB17" s="1"/>
      <c r="BC17" s="1"/>
      <c r="BD17" s="1"/>
      <c r="BE17" s="1"/>
      <c r="BF17" s="1"/>
      <c r="BG17" s="1"/>
      <c r="BH17" s="1"/>
      <c r="BI17" s="1"/>
    </row>
    <row r="18" spans="1:61" ht="15" customHeight="1" x14ac:dyDescent="0.2">
      <c r="A18" s="1"/>
      <c r="B18" s="273"/>
      <c r="C18" s="153"/>
      <c r="D18" s="154"/>
      <c r="E18" s="165"/>
      <c r="F18" s="153"/>
      <c r="G18" s="153"/>
      <c r="H18" s="153"/>
      <c r="I18" s="153"/>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1"/>
      <c r="AO18" s="256"/>
      <c r="AP18" s="153"/>
      <c r="AQ18" s="153"/>
      <c r="AR18" s="153"/>
      <c r="AS18" s="153"/>
      <c r="AT18" s="257"/>
      <c r="AU18" s="1"/>
      <c r="AV18" s="1"/>
      <c r="AW18" s="1"/>
      <c r="AX18" s="1"/>
      <c r="AY18" s="1"/>
      <c r="AZ18" s="1"/>
      <c r="BA18" s="1"/>
      <c r="BB18" s="1"/>
      <c r="BC18" s="1"/>
      <c r="BD18" s="1"/>
      <c r="BE18" s="1"/>
      <c r="BF18" s="1"/>
      <c r="BG18" s="1"/>
      <c r="BH18" s="1"/>
      <c r="BI18" s="1"/>
    </row>
    <row r="19" spans="1:61" ht="15" customHeight="1" x14ac:dyDescent="0.2">
      <c r="A19" s="1"/>
      <c r="B19" s="273"/>
      <c r="C19" s="153"/>
      <c r="D19" s="154"/>
      <c r="E19" s="165"/>
      <c r="F19" s="153"/>
      <c r="G19" s="153"/>
      <c r="H19" s="153"/>
      <c r="I19" s="153"/>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1"/>
      <c r="AO19" s="256"/>
      <c r="AP19" s="153"/>
      <c r="AQ19" s="153"/>
      <c r="AR19" s="153"/>
      <c r="AS19" s="153"/>
      <c r="AT19" s="257"/>
      <c r="AU19" s="1"/>
      <c r="AV19" s="1"/>
      <c r="AW19" s="1"/>
      <c r="AX19" s="1"/>
      <c r="AY19" s="1"/>
      <c r="AZ19" s="1"/>
      <c r="BA19" s="1"/>
      <c r="BB19" s="1"/>
      <c r="BC19" s="1"/>
      <c r="BD19" s="1"/>
      <c r="BE19" s="1"/>
      <c r="BF19" s="1"/>
      <c r="BG19" s="1"/>
      <c r="BH19" s="1"/>
      <c r="BI19" s="1"/>
    </row>
    <row r="20" spans="1:61" ht="15" customHeight="1" x14ac:dyDescent="0.2">
      <c r="A20" s="1"/>
      <c r="B20" s="273"/>
      <c r="C20" s="153"/>
      <c r="D20" s="154"/>
      <c r="E20" s="165"/>
      <c r="F20" s="153"/>
      <c r="G20" s="153"/>
      <c r="H20" s="153"/>
      <c r="I20" s="153"/>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1"/>
      <c r="AO20" s="256"/>
      <c r="AP20" s="153"/>
      <c r="AQ20" s="153"/>
      <c r="AR20" s="153"/>
      <c r="AS20" s="153"/>
      <c r="AT20" s="257"/>
      <c r="AU20" s="1"/>
      <c r="AV20" s="1"/>
      <c r="AW20" s="1"/>
      <c r="AX20" s="1"/>
      <c r="AY20" s="1"/>
      <c r="AZ20" s="1"/>
      <c r="BA20" s="1"/>
      <c r="BB20" s="1"/>
      <c r="BC20" s="1"/>
      <c r="BD20" s="1"/>
      <c r="BE20" s="1"/>
      <c r="BF20" s="1"/>
      <c r="BG20" s="1"/>
      <c r="BH20" s="1"/>
      <c r="BI20" s="1"/>
    </row>
    <row r="21" spans="1:61" ht="15" customHeight="1" x14ac:dyDescent="0.2">
      <c r="A21" s="1"/>
      <c r="B21" s="273"/>
      <c r="C21" s="153"/>
      <c r="D21" s="154"/>
      <c r="E21" s="165"/>
      <c r="F21" s="153"/>
      <c r="G21" s="153"/>
      <c r="H21" s="153"/>
      <c r="I21" s="153"/>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1"/>
      <c r="AO21" s="256"/>
      <c r="AP21" s="153"/>
      <c r="AQ21" s="153"/>
      <c r="AR21" s="153"/>
      <c r="AS21" s="153"/>
      <c r="AT21" s="257"/>
      <c r="AU21" s="1"/>
      <c r="AV21" s="1"/>
      <c r="AW21" s="1"/>
      <c r="AX21" s="1"/>
      <c r="AY21" s="1"/>
      <c r="AZ21" s="1"/>
      <c r="BA21" s="1"/>
      <c r="BB21" s="1"/>
      <c r="BC21" s="1"/>
      <c r="BD21" s="1"/>
      <c r="BE21" s="1"/>
      <c r="BF21" s="1"/>
      <c r="BG21" s="1"/>
      <c r="BH21" s="1"/>
      <c r="BI21" s="1"/>
    </row>
    <row r="22" spans="1:61" ht="15" customHeight="1" x14ac:dyDescent="0.2">
      <c r="A22" s="1"/>
      <c r="B22" s="273"/>
      <c r="C22" s="153"/>
      <c r="D22" s="154"/>
      <c r="E22" s="165"/>
      <c r="F22" s="153"/>
      <c r="G22" s="153"/>
      <c r="H22" s="153"/>
      <c r="I22" s="153"/>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1"/>
      <c r="AO22" s="256"/>
      <c r="AP22" s="153"/>
      <c r="AQ22" s="153"/>
      <c r="AR22" s="153"/>
      <c r="AS22" s="153"/>
      <c r="AT22" s="257"/>
      <c r="AU22" s="1"/>
      <c r="AV22" s="1"/>
      <c r="AW22" s="1"/>
      <c r="AX22" s="1"/>
      <c r="AY22" s="1"/>
      <c r="AZ22" s="1"/>
      <c r="BA22" s="1"/>
      <c r="BB22" s="1"/>
      <c r="BC22" s="1"/>
      <c r="BD22" s="1"/>
      <c r="BE22" s="1"/>
      <c r="BF22" s="1"/>
      <c r="BG22" s="1"/>
      <c r="BH22" s="1"/>
      <c r="BI22" s="1"/>
    </row>
    <row r="23" spans="1:61" ht="15" customHeight="1" x14ac:dyDescent="0.2">
      <c r="A23" s="1"/>
      <c r="B23" s="273"/>
      <c r="C23" s="153"/>
      <c r="D23" s="154"/>
      <c r="E23" s="165"/>
      <c r="F23" s="153"/>
      <c r="G23" s="153"/>
      <c r="H23" s="153"/>
      <c r="I23" s="153"/>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1"/>
      <c r="AO23" s="256"/>
      <c r="AP23" s="153"/>
      <c r="AQ23" s="153"/>
      <c r="AR23" s="153"/>
      <c r="AS23" s="153"/>
      <c r="AT23" s="257"/>
      <c r="AU23" s="1"/>
      <c r="AV23" s="1"/>
      <c r="AW23" s="1"/>
      <c r="AX23" s="1"/>
      <c r="AY23" s="1"/>
      <c r="AZ23" s="1"/>
      <c r="BA23" s="1"/>
      <c r="BB23" s="1"/>
      <c r="BC23" s="1"/>
      <c r="BD23" s="1"/>
      <c r="BE23" s="1"/>
      <c r="BF23" s="1"/>
      <c r="BG23" s="1"/>
      <c r="BH23" s="1"/>
      <c r="BI23" s="1"/>
    </row>
    <row r="24" spans="1:61" ht="15" customHeight="1" x14ac:dyDescent="0.2">
      <c r="A24" s="1"/>
      <c r="B24" s="273"/>
      <c r="C24" s="153"/>
      <c r="D24" s="154"/>
      <c r="E24" s="165"/>
      <c r="F24" s="153"/>
      <c r="G24" s="153"/>
      <c r="H24" s="153"/>
      <c r="I24" s="153"/>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1"/>
      <c r="AO24" s="256"/>
      <c r="AP24" s="153"/>
      <c r="AQ24" s="153"/>
      <c r="AR24" s="153"/>
      <c r="AS24" s="153"/>
      <c r="AT24" s="257"/>
      <c r="AU24" s="1"/>
      <c r="AV24" s="1"/>
      <c r="AW24" s="1"/>
      <c r="AX24" s="1"/>
      <c r="AY24" s="1"/>
      <c r="AZ24" s="1"/>
      <c r="BA24" s="1"/>
      <c r="BB24" s="1"/>
      <c r="BC24" s="1"/>
      <c r="BD24" s="1"/>
      <c r="BE24" s="1"/>
      <c r="BF24" s="1"/>
      <c r="BG24" s="1"/>
      <c r="BH24" s="1"/>
      <c r="BI24" s="1"/>
    </row>
    <row r="25" spans="1:61" ht="15.75" customHeight="1" x14ac:dyDescent="0.2">
      <c r="A25" s="1"/>
      <c r="B25" s="273"/>
      <c r="C25" s="153"/>
      <c r="D25" s="154"/>
      <c r="E25" s="242"/>
      <c r="F25" s="266"/>
      <c r="G25" s="266"/>
      <c r="H25" s="266"/>
      <c r="I25" s="266"/>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1"/>
      <c r="AO25" s="258"/>
      <c r="AP25" s="259"/>
      <c r="AQ25" s="259"/>
      <c r="AR25" s="259"/>
      <c r="AS25" s="259"/>
      <c r="AT25" s="260"/>
      <c r="AU25" s="1"/>
      <c r="AV25" s="1"/>
      <c r="AW25" s="1"/>
      <c r="AX25" s="1"/>
      <c r="AY25" s="1"/>
      <c r="AZ25" s="1"/>
      <c r="BA25" s="1"/>
      <c r="BB25" s="1"/>
      <c r="BC25" s="1"/>
      <c r="BD25" s="1"/>
      <c r="BE25" s="1"/>
      <c r="BF25" s="1"/>
      <c r="BG25" s="1"/>
      <c r="BH25" s="1"/>
      <c r="BI25" s="1"/>
    </row>
    <row r="26" spans="1:61" ht="15" customHeight="1" x14ac:dyDescent="0.2">
      <c r="A26" s="1"/>
      <c r="B26" s="273"/>
      <c r="C26" s="153"/>
      <c r="D26" s="154"/>
      <c r="E26" s="281" t="s">
        <v>93</v>
      </c>
      <c r="F26" s="265"/>
      <c r="G26" s="265"/>
      <c r="H26" s="265"/>
      <c r="I26" s="247"/>
      <c r="J26" s="56" t="str">
        <f ca="1">IF(AND('Mapa final'!$AY$7="Media",'Mapa final'!$BA$7="Leve"),CONCATENATE("R1C",'Mapa final'!$AL$7),"")</f>
        <v/>
      </c>
      <c r="K26" s="57" t="str">
        <f ca="1">IF(AND('Mapa final'!$AY$8="Media",'Mapa final'!$BA$8="Leve"),CONCATENATE("R1C",'Mapa final'!$AL$8),"")</f>
        <v/>
      </c>
      <c r="L26" s="57" t="str">
        <f ca="1">IF(AND('Mapa final'!$AY$9="Media",'Mapa final'!$BA$9="Leve"),CONCATENATE("R1C",'Mapa final'!$AL$9),"")</f>
        <v/>
      </c>
      <c r="M26" s="57" t="str">
        <f ca="1">IF(AND('Mapa final'!$AY$10="Media",'Mapa final'!$BA$10="Leve"),CONCATENATE("R1C",'Mapa final'!$AL$10),"")</f>
        <v/>
      </c>
      <c r="N26" s="57" t="str">
        <f ca="1">IF(AND('Mapa final'!$AY$11="Media",'Mapa final'!$BA$11="Leve"),CONCATENATE("R1C",'Mapa final'!$AL$11),"")</f>
        <v/>
      </c>
      <c r="O26" s="58" t="e">
        <f>IF(AND('Mapa final'!#REF!="Media",'Mapa final'!#REF!="Leve"),CONCATENATE("R1C",'Mapa final'!#REF!),"")</f>
        <v>#REF!</v>
      </c>
      <c r="P26" s="56" t="str">
        <f ca="1">IF(AND('Mapa final'!$AY$7="Media",'Mapa final'!$BA$7="Menor"),CONCATENATE("R1C",'Mapa final'!$AL$7),"")</f>
        <v/>
      </c>
      <c r="Q26" s="57" t="str">
        <f ca="1">IF(AND('Mapa final'!$AY$8="Media",'Mapa final'!$BA$8="Menor"),CONCATENATE("R1C",'Mapa final'!$AL$8),"")</f>
        <v/>
      </c>
      <c r="R26" s="57" t="str">
        <f ca="1">IF(AND('Mapa final'!$AY$9="Media",'Mapa final'!$BA$9="Menor"),CONCATENATE("R1C",'Mapa final'!$AL$9),"")</f>
        <v/>
      </c>
      <c r="S26" s="57" t="str">
        <f ca="1">IF(AND('Mapa final'!$AY$10="Media",'Mapa final'!$BA$10="Menor"),CONCATENATE("R1C",'Mapa final'!$AL$10),"")</f>
        <v/>
      </c>
      <c r="T26" s="57" t="str">
        <f ca="1">IF(AND('Mapa final'!$AY$11="Media",'Mapa final'!$BA$11="Menor"),CONCATENATE("R1C",'Mapa final'!$AL$11),"")</f>
        <v/>
      </c>
      <c r="U26" s="58" t="e">
        <f>IF(AND('Mapa final'!#REF!="Media",'Mapa final'!#REF!="Menor"),CONCATENATE("R1C",'Mapa final'!#REF!),"")</f>
        <v>#REF!</v>
      </c>
      <c r="V26" s="56" t="str">
        <f ca="1">IF(AND('Mapa final'!$AY$7="Media",'Mapa final'!$BA$7="Moderado"),CONCATENATE("R1C",'Mapa final'!$AL$7),"")</f>
        <v/>
      </c>
      <c r="W26" s="57" t="str">
        <f ca="1">IF(AND('Mapa final'!$AY$8="Media",'Mapa final'!$BA$8="Moderado"),CONCATENATE("R1C",'Mapa final'!$AL$8),"")</f>
        <v/>
      </c>
      <c r="X26" s="57" t="str">
        <f ca="1">IF(AND('Mapa final'!$AY$9="Media",'Mapa final'!$BA$9="Moderado"),CONCATENATE("R1C",'Mapa final'!$AL$9),"")</f>
        <v/>
      </c>
      <c r="Y26" s="57" t="str">
        <f ca="1">IF(AND('Mapa final'!$AY$10="Media",'Mapa final'!$BA$10="Moderado"),CONCATENATE("R1C",'Mapa final'!$AL$10),"")</f>
        <v/>
      </c>
      <c r="Z26" s="57" t="str">
        <f ca="1">IF(AND('Mapa final'!$AY$11="Media",'Mapa final'!$BA$11="Moderado"),CONCATENATE("R1C",'Mapa final'!$AL$11),"")</f>
        <v/>
      </c>
      <c r="AA26" s="58" t="e">
        <f>IF(AND('Mapa final'!#REF!="Media",'Mapa final'!#REF!="Moderado"),CONCATENATE("R1C",'Mapa final'!#REF!),"")</f>
        <v>#REF!</v>
      </c>
      <c r="AB26" s="38" t="str">
        <f ca="1">IF(AND('Mapa final'!$AY$7="Media",'Mapa final'!$BA$7="Mayor"),CONCATENATE("R1C",'Mapa final'!$AL$7),"")</f>
        <v/>
      </c>
      <c r="AC26" s="39" t="str">
        <f ca="1">IF(AND('Mapa final'!$AY$8="Media",'Mapa final'!$BA$8="Mayor"),CONCATENATE("R1C",'Mapa final'!$AL$8),"")</f>
        <v/>
      </c>
      <c r="AD26" s="39" t="str">
        <f ca="1">IF(AND('Mapa final'!$AY$9="Media",'Mapa final'!$BA$9="Mayor"),CONCATENATE("R1C",'Mapa final'!$AL$9),"")</f>
        <v/>
      </c>
      <c r="AE26" s="39" t="str">
        <f ca="1">IF(AND('Mapa final'!$AY$10="Media",'Mapa final'!$BA$10="Mayor"),CONCATENATE("R1C",'Mapa final'!$AL$10),"")</f>
        <v/>
      </c>
      <c r="AF26" s="39" t="str">
        <f ca="1">IF(AND('Mapa final'!$AY$11="Media",'Mapa final'!$BA$11="Mayor"),CONCATENATE("R1C",'Mapa final'!$AL$11),"")</f>
        <v/>
      </c>
      <c r="AG26" s="40" t="e">
        <f>IF(AND('Mapa final'!#REF!="Media",'Mapa final'!#REF!="Mayor"),CONCATENATE("R1C",'Mapa final'!#REF!),"")</f>
        <v>#REF!</v>
      </c>
      <c r="AH26" s="41" t="str">
        <f ca="1">IF(AND('Mapa final'!$AY$7="Media",'Mapa final'!$BA$7="Catastrófico"),CONCATENATE("R1C",'Mapa final'!$AL$7),"")</f>
        <v>R1C1</v>
      </c>
      <c r="AI26" s="42" t="str">
        <f ca="1">IF(AND('Mapa final'!$AY$8="Media",'Mapa final'!$BA$8="Catastrófico"),CONCATENATE("R1C",'Mapa final'!$AL$8),"")</f>
        <v/>
      </c>
      <c r="AJ26" s="42" t="str">
        <f ca="1">IF(AND('Mapa final'!$AY$9="Media",'Mapa final'!$BA$9="Catastrófico"),CONCATENATE("R1C",'Mapa final'!$AL$9),"")</f>
        <v/>
      </c>
      <c r="AK26" s="42" t="str">
        <f ca="1">IF(AND('Mapa final'!$AY$10="Media",'Mapa final'!$BA$10="Catastrófico"),CONCATENATE("R1C",'Mapa final'!$AL$10),"")</f>
        <v/>
      </c>
      <c r="AL26" s="42" t="str">
        <f ca="1">IF(AND('Mapa final'!$AY$11="Media",'Mapa final'!$BA$11="Catastrófico"),CONCATENATE("R1C",'Mapa final'!$AL$11),"")</f>
        <v/>
      </c>
      <c r="AM26" s="43" t="e">
        <f>IF(AND('Mapa final'!#REF!="Media",'Mapa final'!#REF!="Catastrófico"),CONCATENATE("R1C",'Mapa final'!#REF!),"")</f>
        <v>#REF!</v>
      </c>
      <c r="AN26" s="1"/>
      <c r="AO26" s="278" t="s">
        <v>94</v>
      </c>
      <c r="AP26" s="254"/>
      <c r="AQ26" s="254"/>
      <c r="AR26" s="254"/>
      <c r="AS26" s="254"/>
      <c r="AT26" s="255"/>
      <c r="AU26" s="1"/>
      <c r="AV26" s="1"/>
      <c r="AW26" s="1"/>
      <c r="AX26" s="1"/>
      <c r="AY26" s="1"/>
      <c r="AZ26" s="1"/>
      <c r="BA26" s="1"/>
      <c r="BB26" s="1"/>
      <c r="BC26" s="1"/>
      <c r="BD26" s="1"/>
      <c r="BE26" s="1"/>
      <c r="BF26" s="1"/>
      <c r="BG26" s="1"/>
      <c r="BH26" s="1"/>
      <c r="BI26" s="1"/>
    </row>
    <row r="27" spans="1:61" ht="15" customHeight="1" x14ac:dyDescent="0.2">
      <c r="A27" s="1"/>
      <c r="B27" s="273"/>
      <c r="C27" s="153"/>
      <c r="D27" s="154"/>
      <c r="E27" s="165"/>
      <c r="F27" s="153"/>
      <c r="G27" s="153"/>
      <c r="H27" s="153"/>
      <c r="I27" s="154"/>
      <c r="J27" s="59" t="e">
        <f>IF(AND('Mapa final'!#REF!="Media",'Mapa final'!#REF!="Leve"),CONCATENATE("R2C",'Mapa final'!#REF!),"")</f>
        <v>#REF!</v>
      </c>
      <c r="K27" s="60" t="e">
        <f>IF(AND('Mapa final'!#REF!="Media",'Mapa final'!#REF!="Leve"),CONCATENATE("R2C",'Mapa final'!#REF!),"")</f>
        <v>#REF!</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e">
        <f>IF(AND('Mapa final'!#REF!="Media",'Mapa final'!#REF!="Menor"),CONCATENATE("R2C",'Mapa final'!#REF!),"")</f>
        <v>#REF!</v>
      </c>
      <c r="Q27" s="60" t="e">
        <f>IF(AND('Mapa final'!#REF!="Media",'Mapa final'!#REF!="Menor"),CONCATENATE("R2C",'Mapa final'!#REF!),"")</f>
        <v>#REF!</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e">
        <f>IF(AND('Mapa final'!#REF!="Media",'Mapa final'!#REF!="Moderado"),CONCATENATE("R2C",'Mapa final'!#REF!),"")</f>
        <v>#REF!</v>
      </c>
      <c r="W27" s="60" t="e">
        <f>IF(AND('Mapa final'!#REF!="Media",'Mapa final'!#REF!="Moderado"),CONCATENATE("R2C",'Mapa final'!#REF!),"")</f>
        <v>#REF!</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e">
        <f>IF(AND('Mapa final'!#REF!="Media",'Mapa final'!#REF!="Mayor"),CONCATENATE("R2C",'Mapa final'!#REF!),"")</f>
        <v>#REF!</v>
      </c>
      <c r="AC27" s="45" t="e">
        <f>IF(AND('Mapa final'!#REF!="Media",'Mapa final'!#REF!="Mayor"),CONCATENATE("R2C",'Mapa final'!#REF!),"")</f>
        <v>#REF!</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e">
        <f>IF(AND('Mapa final'!#REF!="Media",'Mapa final'!#REF!="Catastrófico"),CONCATENATE("R2C",'Mapa final'!#REF!),"")</f>
        <v>#REF!</v>
      </c>
      <c r="AI27" s="48" t="e">
        <f>IF(AND('Mapa final'!#REF!="Media",'Mapa final'!#REF!="Catastrófico"),CONCATENATE("R2C",'Mapa final'!#REF!),"")</f>
        <v>#REF!</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1"/>
      <c r="AO27" s="256"/>
      <c r="AP27" s="153"/>
      <c r="AQ27" s="153"/>
      <c r="AR27" s="153"/>
      <c r="AS27" s="153"/>
      <c r="AT27" s="257"/>
      <c r="AU27" s="1"/>
      <c r="AV27" s="1"/>
      <c r="AW27" s="1"/>
      <c r="AX27" s="1"/>
      <c r="AY27" s="1"/>
      <c r="AZ27" s="1"/>
      <c r="BA27" s="1"/>
      <c r="BB27" s="1"/>
      <c r="BC27" s="1"/>
      <c r="BD27" s="1"/>
      <c r="BE27" s="1"/>
      <c r="BF27" s="1"/>
      <c r="BG27" s="1"/>
      <c r="BH27" s="1"/>
      <c r="BI27" s="1"/>
    </row>
    <row r="28" spans="1:61" ht="15" customHeight="1" x14ac:dyDescent="0.2">
      <c r="A28" s="1"/>
      <c r="B28" s="273"/>
      <c r="C28" s="153"/>
      <c r="D28" s="154"/>
      <c r="E28" s="165"/>
      <c r="F28" s="153"/>
      <c r="G28" s="153"/>
      <c r="H28" s="153"/>
      <c r="I28" s="154"/>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1"/>
      <c r="AO28" s="256"/>
      <c r="AP28" s="153"/>
      <c r="AQ28" s="153"/>
      <c r="AR28" s="153"/>
      <c r="AS28" s="153"/>
      <c r="AT28" s="257"/>
      <c r="AU28" s="1"/>
      <c r="AV28" s="1"/>
      <c r="AW28" s="1"/>
      <c r="AX28" s="1"/>
      <c r="AY28" s="1"/>
      <c r="AZ28" s="1"/>
      <c r="BA28" s="1"/>
      <c r="BB28" s="1"/>
      <c r="BC28" s="1"/>
      <c r="BD28" s="1"/>
      <c r="BE28" s="1"/>
      <c r="BF28" s="1"/>
      <c r="BG28" s="1"/>
      <c r="BH28" s="1"/>
      <c r="BI28" s="1"/>
    </row>
    <row r="29" spans="1:61" ht="15" customHeight="1" x14ac:dyDescent="0.2">
      <c r="A29" s="1"/>
      <c r="B29" s="273"/>
      <c r="C29" s="153"/>
      <c r="D29" s="154"/>
      <c r="E29" s="165"/>
      <c r="F29" s="153"/>
      <c r="G29" s="153"/>
      <c r="H29" s="153"/>
      <c r="I29" s="154"/>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1"/>
      <c r="AO29" s="256"/>
      <c r="AP29" s="153"/>
      <c r="AQ29" s="153"/>
      <c r="AR29" s="153"/>
      <c r="AS29" s="153"/>
      <c r="AT29" s="257"/>
      <c r="AU29" s="1"/>
      <c r="AV29" s="1"/>
      <c r="AW29" s="1"/>
      <c r="AX29" s="1"/>
      <c r="AY29" s="1"/>
      <c r="AZ29" s="1"/>
      <c r="BA29" s="1"/>
      <c r="BB29" s="1"/>
      <c r="BC29" s="1"/>
      <c r="BD29" s="1"/>
      <c r="BE29" s="1"/>
      <c r="BF29" s="1"/>
      <c r="BG29" s="1"/>
      <c r="BH29" s="1"/>
      <c r="BI29" s="1"/>
    </row>
    <row r="30" spans="1:61" ht="15" customHeight="1" x14ac:dyDescent="0.2">
      <c r="A30" s="1"/>
      <c r="B30" s="273"/>
      <c r="C30" s="153"/>
      <c r="D30" s="154"/>
      <c r="E30" s="165"/>
      <c r="F30" s="153"/>
      <c r="G30" s="153"/>
      <c r="H30" s="153"/>
      <c r="I30" s="154"/>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1"/>
      <c r="AO30" s="256"/>
      <c r="AP30" s="153"/>
      <c r="AQ30" s="153"/>
      <c r="AR30" s="153"/>
      <c r="AS30" s="153"/>
      <c r="AT30" s="257"/>
      <c r="AU30" s="1"/>
      <c r="AV30" s="1"/>
      <c r="AW30" s="1"/>
      <c r="AX30" s="1"/>
      <c r="AY30" s="1"/>
      <c r="AZ30" s="1"/>
      <c r="BA30" s="1"/>
      <c r="BB30" s="1"/>
      <c r="BC30" s="1"/>
      <c r="BD30" s="1"/>
      <c r="BE30" s="1"/>
      <c r="BF30" s="1"/>
      <c r="BG30" s="1"/>
      <c r="BH30" s="1"/>
      <c r="BI30" s="1"/>
    </row>
    <row r="31" spans="1:61" ht="15" customHeight="1" x14ac:dyDescent="0.2">
      <c r="A31" s="1"/>
      <c r="B31" s="273"/>
      <c r="C31" s="153"/>
      <c r="D31" s="154"/>
      <c r="E31" s="165"/>
      <c r="F31" s="153"/>
      <c r="G31" s="153"/>
      <c r="H31" s="153"/>
      <c r="I31" s="154"/>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1"/>
      <c r="AO31" s="256"/>
      <c r="AP31" s="153"/>
      <c r="AQ31" s="153"/>
      <c r="AR31" s="153"/>
      <c r="AS31" s="153"/>
      <c r="AT31" s="257"/>
      <c r="AU31" s="1"/>
      <c r="AV31" s="1"/>
      <c r="AW31" s="1"/>
      <c r="AX31" s="1"/>
      <c r="AY31" s="1"/>
      <c r="AZ31" s="1"/>
      <c r="BA31" s="1"/>
      <c r="BB31" s="1"/>
      <c r="BC31" s="1"/>
      <c r="BD31" s="1"/>
      <c r="BE31" s="1"/>
      <c r="BF31" s="1"/>
      <c r="BG31" s="1"/>
      <c r="BH31" s="1"/>
      <c r="BI31" s="1"/>
    </row>
    <row r="32" spans="1:61" ht="15" customHeight="1" x14ac:dyDescent="0.2">
      <c r="A32" s="1"/>
      <c r="B32" s="273"/>
      <c r="C32" s="153"/>
      <c r="D32" s="154"/>
      <c r="E32" s="165"/>
      <c r="F32" s="153"/>
      <c r="G32" s="153"/>
      <c r="H32" s="153"/>
      <c r="I32" s="154"/>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1"/>
      <c r="AO32" s="256"/>
      <c r="AP32" s="153"/>
      <c r="AQ32" s="153"/>
      <c r="AR32" s="153"/>
      <c r="AS32" s="153"/>
      <c r="AT32" s="257"/>
      <c r="AU32" s="1"/>
      <c r="AV32" s="1"/>
      <c r="AW32" s="1"/>
      <c r="AX32" s="1"/>
      <c r="AY32" s="1"/>
      <c r="AZ32" s="1"/>
      <c r="BA32" s="1"/>
      <c r="BB32" s="1"/>
      <c r="BC32" s="1"/>
      <c r="BD32" s="1"/>
      <c r="BE32" s="1"/>
      <c r="BF32" s="1"/>
      <c r="BG32" s="1"/>
      <c r="BH32" s="1"/>
      <c r="BI32" s="1"/>
    </row>
    <row r="33" spans="1:61" ht="15" customHeight="1" x14ac:dyDescent="0.2">
      <c r="A33" s="1"/>
      <c r="B33" s="273"/>
      <c r="C33" s="153"/>
      <c r="D33" s="154"/>
      <c r="E33" s="165"/>
      <c r="F33" s="153"/>
      <c r="G33" s="153"/>
      <c r="H33" s="153"/>
      <c r="I33" s="154"/>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1"/>
      <c r="AO33" s="256"/>
      <c r="AP33" s="153"/>
      <c r="AQ33" s="153"/>
      <c r="AR33" s="153"/>
      <c r="AS33" s="153"/>
      <c r="AT33" s="257"/>
      <c r="AU33" s="1"/>
      <c r="AV33" s="1"/>
      <c r="AW33" s="1"/>
      <c r="AX33" s="1"/>
      <c r="AY33" s="1"/>
      <c r="AZ33" s="1"/>
      <c r="BA33" s="1"/>
      <c r="BB33" s="1"/>
      <c r="BC33" s="1"/>
      <c r="BD33" s="1"/>
      <c r="BE33" s="1"/>
      <c r="BF33" s="1"/>
      <c r="BG33" s="1"/>
      <c r="BH33" s="1"/>
      <c r="BI33" s="1"/>
    </row>
    <row r="34" spans="1:61" ht="15" customHeight="1" x14ac:dyDescent="0.2">
      <c r="A34" s="1"/>
      <c r="B34" s="273"/>
      <c r="C34" s="153"/>
      <c r="D34" s="154"/>
      <c r="E34" s="165"/>
      <c r="F34" s="153"/>
      <c r="G34" s="153"/>
      <c r="H34" s="153"/>
      <c r="I34" s="154"/>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1"/>
      <c r="AO34" s="256"/>
      <c r="AP34" s="153"/>
      <c r="AQ34" s="153"/>
      <c r="AR34" s="153"/>
      <c r="AS34" s="153"/>
      <c r="AT34" s="257"/>
      <c r="AU34" s="1"/>
      <c r="AV34" s="1"/>
      <c r="AW34" s="1"/>
      <c r="AX34" s="1"/>
      <c r="AY34" s="1"/>
      <c r="AZ34" s="1"/>
      <c r="BA34" s="1"/>
      <c r="BB34" s="1"/>
      <c r="BC34" s="1"/>
      <c r="BD34" s="1"/>
      <c r="BE34" s="1"/>
      <c r="BF34" s="1"/>
      <c r="BG34" s="1"/>
      <c r="BH34" s="1"/>
      <c r="BI34" s="1"/>
    </row>
    <row r="35" spans="1:61" ht="15.75" customHeight="1" x14ac:dyDescent="0.2">
      <c r="A35" s="1"/>
      <c r="B35" s="273"/>
      <c r="C35" s="153"/>
      <c r="D35" s="154"/>
      <c r="E35" s="242"/>
      <c r="F35" s="266"/>
      <c r="G35" s="266"/>
      <c r="H35" s="266"/>
      <c r="I35" s="245"/>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1"/>
      <c r="AO35" s="258"/>
      <c r="AP35" s="259"/>
      <c r="AQ35" s="259"/>
      <c r="AR35" s="259"/>
      <c r="AS35" s="259"/>
      <c r="AT35" s="260"/>
      <c r="AU35" s="1"/>
      <c r="AV35" s="1"/>
      <c r="AW35" s="1"/>
      <c r="AX35" s="1"/>
      <c r="AY35" s="1"/>
      <c r="AZ35" s="1"/>
      <c r="BA35" s="1"/>
      <c r="BB35" s="1"/>
      <c r="BC35" s="1"/>
      <c r="BD35" s="1"/>
      <c r="BE35" s="1"/>
      <c r="BF35" s="1"/>
      <c r="BG35" s="1"/>
      <c r="BH35" s="1"/>
      <c r="BI35" s="1"/>
    </row>
    <row r="36" spans="1:61" ht="15" customHeight="1" x14ac:dyDescent="0.2">
      <c r="A36" s="1"/>
      <c r="B36" s="273"/>
      <c r="C36" s="153"/>
      <c r="D36" s="154"/>
      <c r="E36" s="281" t="s">
        <v>95</v>
      </c>
      <c r="F36" s="265"/>
      <c r="G36" s="265"/>
      <c r="H36" s="265"/>
      <c r="I36" s="265"/>
      <c r="J36" s="65" t="str">
        <f ca="1">IF(AND('Mapa final'!$AY$7="Baja",'Mapa final'!$BA$7="Leve"),CONCATENATE("R1C",'Mapa final'!$AL$7),"")</f>
        <v/>
      </c>
      <c r="K36" s="66" t="str">
        <f ca="1">IF(AND('Mapa final'!$AY$8="Baja",'Mapa final'!$BA$8="Leve"),CONCATENATE("R1C",'Mapa final'!$AL$8),"")</f>
        <v/>
      </c>
      <c r="L36" s="66" t="str">
        <f ca="1">IF(AND('Mapa final'!$AY$9="Baja",'Mapa final'!$BA$9="Leve"),CONCATENATE("R1C",'Mapa final'!$AL$9),"")</f>
        <v/>
      </c>
      <c r="M36" s="66" t="str">
        <f ca="1">IF(AND('Mapa final'!$AY$10="Baja",'Mapa final'!$BA$10="Leve"),CONCATENATE("R1C",'Mapa final'!$AL$10),"")</f>
        <v/>
      </c>
      <c r="N36" s="66" t="str">
        <f ca="1">IF(AND('Mapa final'!$AY$11="Baja",'Mapa final'!$BA$11="Leve"),CONCATENATE("R1C",'Mapa final'!$AL$11),"")</f>
        <v/>
      </c>
      <c r="O36" s="67" t="e">
        <f>IF(AND('Mapa final'!#REF!="Baja",'Mapa final'!#REF!="Leve"),CONCATENATE("R1C",'Mapa final'!#REF!),"")</f>
        <v>#REF!</v>
      </c>
      <c r="P36" s="56" t="str">
        <f ca="1">IF(AND('Mapa final'!$AY$7="Baja",'Mapa final'!$BA$7="Menor"),CONCATENATE("R1C",'Mapa final'!$AL$7),"")</f>
        <v/>
      </c>
      <c r="Q36" s="57" t="str">
        <f ca="1">IF(AND('Mapa final'!$AY$8="Baja",'Mapa final'!$BA$8="Menor"),CONCATENATE("R1C",'Mapa final'!$AL$8),"")</f>
        <v/>
      </c>
      <c r="R36" s="57" t="str">
        <f ca="1">IF(AND('Mapa final'!$AY$9="Baja",'Mapa final'!$BA$9="Menor"),CONCATENATE("R1C",'Mapa final'!$AL$9),"")</f>
        <v/>
      </c>
      <c r="S36" s="57" t="str">
        <f ca="1">IF(AND('Mapa final'!$AY$10="Baja",'Mapa final'!$BA$10="Menor"),CONCATENATE("R1C",'Mapa final'!$AL$10),"")</f>
        <v/>
      </c>
      <c r="T36" s="57" t="str">
        <f ca="1">IF(AND('Mapa final'!$AY$11="Baja",'Mapa final'!$BA$11="Menor"),CONCATENATE("R1C",'Mapa final'!$AL$11),"")</f>
        <v/>
      </c>
      <c r="U36" s="58" t="e">
        <f>IF(AND('Mapa final'!#REF!="Baja",'Mapa final'!#REF!="Menor"),CONCATENATE("R1C",'Mapa final'!#REF!),"")</f>
        <v>#REF!</v>
      </c>
      <c r="V36" s="56" t="str">
        <f ca="1">IF(AND('Mapa final'!$AY$7="Baja",'Mapa final'!$BA$7="Moderado"),CONCATENATE("R1C",'Mapa final'!$AL$7),"")</f>
        <v/>
      </c>
      <c r="W36" s="57" t="str">
        <f ca="1">IF(AND('Mapa final'!$AY$8="Baja",'Mapa final'!$BA$8="Moderado"),CONCATENATE("R1C",'Mapa final'!$AL$8),"")</f>
        <v/>
      </c>
      <c r="X36" s="57" t="str">
        <f ca="1">IF(AND('Mapa final'!$AY$9="Baja",'Mapa final'!$BA$9="Moderado"),CONCATENATE("R1C",'Mapa final'!$AL$9),"")</f>
        <v/>
      </c>
      <c r="Y36" s="57" t="str">
        <f ca="1">IF(AND('Mapa final'!$AY$10="Baja",'Mapa final'!$BA$10="Moderado"),CONCATENATE("R1C",'Mapa final'!$AL$10),"")</f>
        <v/>
      </c>
      <c r="Z36" s="57" t="str">
        <f ca="1">IF(AND('Mapa final'!$AY$11="Baja",'Mapa final'!$BA$11="Moderado"),CONCATENATE("R1C",'Mapa final'!$AL$11),"")</f>
        <v/>
      </c>
      <c r="AA36" s="58" t="e">
        <f>IF(AND('Mapa final'!#REF!="Baja",'Mapa final'!#REF!="Moderado"),CONCATENATE("R1C",'Mapa final'!#REF!),"")</f>
        <v>#REF!</v>
      </c>
      <c r="AB36" s="38" t="str">
        <f ca="1">IF(AND('Mapa final'!$AY$7="Baja",'Mapa final'!$BA$7="Mayor"),CONCATENATE("R1C",'Mapa final'!$AL$7),"")</f>
        <v/>
      </c>
      <c r="AC36" s="39" t="str">
        <f ca="1">IF(AND('Mapa final'!$AY$8="Baja",'Mapa final'!$BA$8="Mayor"),CONCATENATE("R1C",'Mapa final'!$AL$8),"")</f>
        <v/>
      </c>
      <c r="AD36" s="39" t="str">
        <f ca="1">IF(AND('Mapa final'!$AY$9="Baja",'Mapa final'!$BA$9="Mayor"),CONCATENATE("R1C",'Mapa final'!$AL$9),"")</f>
        <v/>
      </c>
      <c r="AE36" s="39" t="str">
        <f ca="1">IF(AND('Mapa final'!$AY$10="Baja",'Mapa final'!$BA$10="Mayor"),CONCATENATE("R1C",'Mapa final'!$AL$10),"")</f>
        <v/>
      </c>
      <c r="AF36" s="39" t="str">
        <f ca="1">IF(AND('Mapa final'!$AY$11="Baja",'Mapa final'!$BA$11="Mayor"),CONCATENATE("R1C",'Mapa final'!$AL$11),"")</f>
        <v/>
      </c>
      <c r="AG36" s="40" t="e">
        <f>IF(AND('Mapa final'!#REF!="Baja",'Mapa final'!#REF!="Mayor"),CONCATENATE("R1C",'Mapa final'!#REF!),"")</f>
        <v>#REF!</v>
      </c>
      <c r="AH36" s="41" t="str">
        <f ca="1">IF(AND('Mapa final'!$AY$7="Baja",'Mapa final'!$BA$7="Catastrófico"),CONCATENATE("R1C",'Mapa final'!$AL$7),"")</f>
        <v/>
      </c>
      <c r="AI36" s="42" t="str">
        <f ca="1">IF(AND('Mapa final'!$AY$8="Baja",'Mapa final'!$BA$8="Catastrófico"),CONCATENATE("R1C",'Mapa final'!$AL$8),"")</f>
        <v>R1C2</v>
      </c>
      <c r="AJ36" s="42" t="str">
        <f ca="1">IF(AND('Mapa final'!$AY$9="Baja",'Mapa final'!$BA$9="Catastrófico"),CONCATENATE("R1C",'Mapa final'!$AL$9),"")</f>
        <v/>
      </c>
      <c r="AK36" s="42" t="str">
        <f ca="1">IF(AND('Mapa final'!$AY$10="Baja",'Mapa final'!$BA$10="Catastrófico"),CONCATENATE("R1C",'Mapa final'!$AL$10),"")</f>
        <v/>
      </c>
      <c r="AL36" s="42" t="str">
        <f ca="1">IF(AND('Mapa final'!$AY$11="Baja",'Mapa final'!$BA$11="Catastrófico"),CONCATENATE("R1C",'Mapa final'!$AL$11),"")</f>
        <v/>
      </c>
      <c r="AM36" s="43" t="e">
        <f>IF(AND('Mapa final'!#REF!="Baja",'Mapa final'!#REF!="Catastrófico"),CONCATENATE("R1C",'Mapa final'!#REF!),"")</f>
        <v>#REF!</v>
      </c>
      <c r="AN36" s="1"/>
      <c r="AO36" s="280" t="s">
        <v>96</v>
      </c>
      <c r="AP36" s="254"/>
      <c r="AQ36" s="254"/>
      <c r="AR36" s="254"/>
      <c r="AS36" s="254"/>
      <c r="AT36" s="255"/>
      <c r="AU36" s="1"/>
      <c r="AV36" s="1"/>
      <c r="AW36" s="1"/>
      <c r="AX36" s="1"/>
      <c r="AY36" s="1"/>
      <c r="AZ36" s="1"/>
      <c r="BA36" s="1"/>
      <c r="BB36" s="1"/>
      <c r="BC36" s="1"/>
      <c r="BD36" s="1"/>
      <c r="BE36" s="1"/>
      <c r="BF36" s="1"/>
      <c r="BG36" s="1"/>
      <c r="BH36" s="1"/>
      <c r="BI36" s="1"/>
    </row>
    <row r="37" spans="1:61" ht="15" customHeight="1" x14ac:dyDescent="0.2">
      <c r="A37" s="1"/>
      <c r="B37" s="273"/>
      <c r="C37" s="153"/>
      <c r="D37" s="154"/>
      <c r="E37" s="165"/>
      <c r="F37" s="153"/>
      <c r="G37" s="153"/>
      <c r="H37" s="153"/>
      <c r="I37" s="153"/>
      <c r="J37" s="68" t="e">
        <f>IF(AND('Mapa final'!#REF!="Baja",'Mapa final'!#REF!="Leve"),CONCATENATE("R2C",'Mapa final'!#REF!),"")</f>
        <v>#REF!</v>
      </c>
      <c r="K37" s="69" t="e">
        <f>IF(AND('Mapa final'!#REF!="Baja",'Mapa final'!#REF!="Leve"),CONCATENATE("R2C",'Mapa final'!#REF!),"")</f>
        <v>#REF!</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e">
        <f>IF(AND('Mapa final'!#REF!="Baja",'Mapa final'!#REF!="Menor"),CONCATENATE("R2C",'Mapa final'!#REF!),"")</f>
        <v>#REF!</v>
      </c>
      <c r="Q37" s="60" t="e">
        <f>IF(AND('Mapa final'!#REF!="Baja",'Mapa final'!#REF!="Menor"),CONCATENATE("R2C",'Mapa final'!#REF!),"")</f>
        <v>#REF!</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e">
        <f>IF(AND('Mapa final'!#REF!="Baja",'Mapa final'!#REF!="Moderado"),CONCATENATE("R2C",'Mapa final'!#REF!),"")</f>
        <v>#REF!</v>
      </c>
      <c r="W37" s="60" t="e">
        <f>IF(AND('Mapa final'!#REF!="Baja",'Mapa final'!#REF!="Moderado"),CONCATENATE("R2C",'Mapa final'!#REF!),"")</f>
        <v>#REF!</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e">
        <f>IF(AND('Mapa final'!#REF!="Baja",'Mapa final'!#REF!="Mayor"),CONCATENATE("R2C",'Mapa final'!#REF!),"")</f>
        <v>#REF!</v>
      </c>
      <c r="AC37" s="45" t="e">
        <f>IF(AND('Mapa final'!#REF!="Baja",'Mapa final'!#REF!="Mayor"),CONCATENATE("R2C",'Mapa final'!#REF!),"")</f>
        <v>#REF!</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e">
        <f>IF(AND('Mapa final'!#REF!="Baja",'Mapa final'!#REF!="Catastrófico"),CONCATENATE("R2C",'Mapa final'!#REF!),"")</f>
        <v>#REF!</v>
      </c>
      <c r="AI37" s="48" t="e">
        <f>IF(AND('Mapa final'!#REF!="Baja",'Mapa final'!#REF!="Catastrófico"),CONCATENATE("R2C",'Mapa final'!#REF!),"")</f>
        <v>#REF!</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1"/>
      <c r="AO37" s="256"/>
      <c r="AP37" s="153"/>
      <c r="AQ37" s="153"/>
      <c r="AR37" s="153"/>
      <c r="AS37" s="153"/>
      <c r="AT37" s="257"/>
      <c r="AU37" s="1"/>
      <c r="AV37" s="1"/>
      <c r="AW37" s="1"/>
      <c r="AX37" s="1"/>
      <c r="AY37" s="1"/>
      <c r="AZ37" s="1"/>
      <c r="BA37" s="1"/>
      <c r="BB37" s="1"/>
      <c r="BC37" s="1"/>
      <c r="BD37" s="1"/>
      <c r="BE37" s="1"/>
      <c r="BF37" s="1"/>
      <c r="BG37" s="1"/>
      <c r="BH37" s="1"/>
      <c r="BI37" s="1"/>
    </row>
    <row r="38" spans="1:61" ht="15" customHeight="1" x14ac:dyDescent="0.2">
      <c r="A38" s="1"/>
      <c r="B38" s="273"/>
      <c r="C38" s="153"/>
      <c r="D38" s="154"/>
      <c r="E38" s="165"/>
      <c r="F38" s="153"/>
      <c r="G38" s="153"/>
      <c r="H38" s="153"/>
      <c r="I38" s="153"/>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1"/>
      <c r="AO38" s="256"/>
      <c r="AP38" s="153"/>
      <c r="AQ38" s="153"/>
      <c r="AR38" s="153"/>
      <c r="AS38" s="153"/>
      <c r="AT38" s="257"/>
      <c r="AU38" s="1"/>
      <c r="AV38" s="1"/>
      <c r="AW38" s="1"/>
      <c r="AX38" s="1"/>
      <c r="AY38" s="1"/>
      <c r="AZ38" s="1"/>
      <c r="BA38" s="1"/>
      <c r="BB38" s="1"/>
      <c r="BC38" s="1"/>
      <c r="BD38" s="1"/>
      <c r="BE38" s="1"/>
      <c r="BF38" s="1"/>
      <c r="BG38" s="1"/>
      <c r="BH38" s="1"/>
      <c r="BI38" s="1"/>
    </row>
    <row r="39" spans="1:61" ht="15" customHeight="1" x14ac:dyDescent="0.2">
      <c r="A39" s="1"/>
      <c r="B39" s="273"/>
      <c r="C39" s="153"/>
      <c r="D39" s="154"/>
      <c r="E39" s="165"/>
      <c r="F39" s="153"/>
      <c r="G39" s="153"/>
      <c r="H39" s="153"/>
      <c r="I39" s="153"/>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1"/>
      <c r="AO39" s="256"/>
      <c r="AP39" s="153"/>
      <c r="AQ39" s="153"/>
      <c r="AR39" s="153"/>
      <c r="AS39" s="153"/>
      <c r="AT39" s="257"/>
      <c r="AU39" s="1"/>
      <c r="AV39" s="1"/>
      <c r="AW39" s="1"/>
      <c r="AX39" s="1"/>
      <c r="AY39" s="1"/>
      <c r="AZ39" s="1"/>
      <c r="BA39" s="1"/>
      <c r="BB39" s="1"/>
      <c r="BC39" s="1"/>
      <c r="BD39" s="1"/>
      <c r="BE39" s="1"/>
      <c r="BF39" s="1"/>
      <c r="BG39" s="1"/>
      <c r="BH39" s="1"/>
      <c r="BI39" s="1"/>
    </row>
    <row r="40" spans="1:61" ht="15" customHeight="1" x14ac:dyDescent="0.2">
      <c r="A40" s="1"/>
      <c r="B40" s="273"/>
      <c r="C40" s="153"/>
      <c r="D40" s="154"/>
      <c r="E40" s="165"/>
      <c r="F40" s="153"/>
      <c r="G40" s="153"/>
      <c r="H40" s="153"/>
      <c r="I40" s="153"/>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1"/>
      <c r="AO40" s="256"/>
      <c r="AP40" s="153"/>
      <c r="AQ40" s="153"/>
      <c r="AR40" s="153"/>
      <c r="AS40" s="153"/>
      <c r="AT40" s="257"/>
      <c r="AU40" s="1"/>
      <c r="AV40" s="1"/>
      <c r="AW40" s="1"/>
      <c r="AX40" s="1"/>
      <c r="AY40" s="1"/>
      <c r="AZ40" s="1"/>
      <c r="BA40" s="1"/>
      <c r="BB40" s="1"/>
      <c r="BC40" s="1"/>
      <c r="BD40" s="1"/>
      <c r="BE40" s="1"/>
      <c r="BF40" s="1"/>
      <c r="BG40" s="1"/>
      <c r="BH40" s="1"/>
      <c r="BI40" s="1"/>
    </row>
    <row r="41" spans="1:61" ht="15" customHeight="1" x14ac:dyDescent="0.2">
      <c r="A41" s="1"/>
      <c r="B41" s="273"/>
      <c r="C41" s="153"/>
      <c r="D41" s="154"/>
      <c r="E41" s="165"/>
      <c r="F41" s="153"/>
      <c r="G41" s="153"/>
      <c r="H41" s="153"/>
      <c r="I41" s="153"/>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1"/>
      <c r="AO41" s="256"/>
      <c r="AP41" s="153"/>
      <c r="AQ41" s="153"/>
      <c r="AR41" s="153"/>
      <c r="AS41" s="153"/>
      <c r="AT41" s="257"/>
      <c r="AU41" s="1"/>
      <c r="AV41" s="1"/>
      <c r="AW41" s="1"/>
      <c r="AX41" s="1"/>
      <c r="AY41" s="1"/>
      <c r="AZ41" s="1"/>
      <c r="BA41" s="1"/>
      <c r="BB41" s="1"/>
      <c r="BC41" s="1"/>
      <c r="BD41" s="1"/>
      <c r="BE41" s="1"/>
      <c r="BF41" s="1"/>
      <c r="BG41" s="1"/>
      <c r="BH41" s="1"/>
      <c r="BI41" s="1"/>
    </row>
    <row r="42" spans="1:61" ht="15" customHeight="1" x14ac:dyDescent="0.2">
      <c r="A42" s="1"/>
      <c r="B42" s="273"/>
      <c r="C42" s="153"/>
      <c r="D42" s="154"/>
      <c r="E42" s="165"/>
      <c r="F42" s="153"/>
      <c r="G42" s="153"/>
      <c r="H42" s="153"/>
      <c r="I42" s="153"/>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1"/>
      <c r="AO42" s="256"/>
      <c r="AP42" s="153"/>
      <c r="AQ42" s="153"/>
      <c r="AR42" s="153"/>
      <c r="AS42" s="153"/>
      <c r="AT42" s="257"/>
      <c r="AU42" s="1"/>
      <c r="AV42" s="1"/>
      <c r="AW42" s="1"/>
      <c r="AX42" s="1"/>
      <c r="AY42" s="1"/>
      <c r="AZ42" s="1"/>
      <c r="BA42" s="1"/>
      <c r="BB42" s="1"/>
      <c r="BC42" s="1"/>
      <c r="BD42" s="1"/>
      <c r="BE42" s="1"/>
      <c r="BF42" s="1"/>
      <c r="BG42" s="1"/>
      <c r="BH42" s="1"/>
      <c r="BI42" s="1"/>
    </row>
    <row r="43" spans="1:61" ht="15" customHeight="1" x14ac:dyDescent="0.2">
      <c r="A43" s="1"/>
      <c r="B43" s="273"/>
      <c r="C43" s="153"/>
      <c r="D43" s="154"/>
      <c r="E43" s="165"/>
      <c r="F43" s="153"/>
      <c r="G43" s="153"/>
      <c r="H43" s="153"/>
      <c r="I43" s="153"/>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1"/>
      <c r="AO43" s="256"/>
      <c r="AP43" s="153"/>
      <c r="AQ43" s="153"/>
      <c r="AR43" s="153"/>
      <c r="AS43" s="153"/>
      <c r="AT43" s="257"/>
      <c r="AU43" s="1"/>
      <c r="AV43" s="1"/>
      <c r="AW43" s="1"/>
      <c r="AX43" s="1"/>
      <c r="AY43" s="1"/>
      <c r="AZ43" s="1"/>
      <c r="BA43" s="1"/>
      <c r="BB43" s="1"/>
      <c r="BC43" s="1"/>
      <c r="BD43" s="1"/>
      <c r="BE43" s="1"/>
      <c r="BF43" s="1"/>
      <c r="BG43" s="1"/>
      <c r="BH43" s="1"/>
      <c r="BI43" s="1"/>
    </row>
    <row r="44" spans="1:61" ht="15" customHeight="1" x14ac:dyDescent="0.2">
      <c r="A44" s="1"/>
      <c r="B44" s="273"/>
      <c r="C44" s="153"/>
      <c r="D44" s="154"/>
      <c r="E44" s="165"/>
      <c r="F44" s="153"/>
      <c r="G44" s="153"/>
      <c r="H44" s="153"/>
      <c r="I44" s="153"/>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1"/>
      <c r="AO44" s="256"/>
      <c r="AP44" s="153"/>
      <c r="AQ44" s="153"/>
      <c r="AR44" s="153"/>
      <c r="AS44" s="153"/>
      <c r="AT44" s="257"/>
      <c r="AU44" s="1"/>
      <c r="AV44" s="1"/>
      <c r="AW44" s="1"/>
      <c r="AX44" s="1"/>
      <c r="AY44" s="1"/>
      <c r="AZ44" s="1"/>
      <c r="BA44" s="1"/>
      <c r="BB44" s="1"/>
      <c r="BC44" s="1"/>
      <c r="BD44" s="1"/>
      <c r="BE44" s="1"/>
      <c r="BF44" s="1"/>
      <c r="BG44" s="1"/>
      <c r="BH44" s="1"/>
      <c r="BI44" s="1"/>
    </row>
    <row r="45" spans="1:61" ht="15.75" customHeight="1" x14ac:dyDescent="0.2">
      <c r="A45" s="1"/>
      <c r="B45" s="273"/>
      <c r="C45" s="153"/>
      <c r="D45" s="154"/>
      <c r="E45" s="242"/>
      <c r="F45" s="266"/>
      <c r="G45" s="266"/>
      <c r="H45" s="266"/>
      <c r="I45" s="266"/>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1"/>
      <c r="AO45" s="258"/>
      <c r="AP45" s="259"/>
      <c r="AQ45" s="259"/>
      <c r="AR45" s="259"/>
      <c r="AS45" s="259"/>
      <c r="AT45" s="260"/>
    </row>
    <row r="46" spans="1:61" ht="46.5" customHeight="1" x14ac:dyDescent="0.3">
      <c r="A46" s="1"/>
      <c r="B46" s="273"/>
      <c r="C46" s="153"/>
      <c r="D46" s="154"/>
      <c r="E46" s="281" t="s">
        <v>97</v>
      </c>
      <c r="F46" s="265"/>
      <c r="G46" s="265"/>
      <c r="H46" s="265"/>
      <c r="I46" s="247"/>
      <c r="J46" s="65" t="str">
        <f ca="1">IF(AND('Mapa final'!$AY$7="Muy Baja",'Mapa final'!$BA$7="Leve"),CONCATENATE("R1C",'Mapa final'!$AL$7),"")</f>
        <v/>
      </c>
      <c r="K46" s="66" t="str">
        <f ca="1">IF(AND('Mapa final'!$AY$8="Muy Baja",'Mapa final'!$BA$8="Leve"),CONCATENATE("R1C",'Mapa final'!$AL$8),"")</f>
        <v/>
      </c>
      <c r="L46" s="66" t="str">
        <f ca="1">IF(AND('Mapa final'!$AY$9="Muy Baja",'Mapa final'!$BA$9="Leve"),CONCATENATE("R1C",'Mapa final'!$AL$9),"")</f>
        <v/>
      </c>
      <c r="M46" s="66" t="str">
        <f ca="1">IF(AND('Mapa final'!$AY$10="Muy Baja",'Mapa final'!$BA$10="Leve"),CONCATENATE("R1C",'Mapa final'!$AL$10),"")</f>
        <v/>
      </c>
      <c r="N46" s="66" t="str">
        <f ca="1">IF(AND('Mapa final'!$AY$11="Muy Baja",'Mapa final'!$BA$11="Leve"),CONCATENATE("R1C",'Mapa final'!$AL$11),"")</f>
        <v/>
      </c>
      <c r="O46" s="67" t="e">
        <f>IF(AND('Mapa final'!#REF!="Muy Baja",'Mapa final'!#REF!="Leve"),CONCATENATE("R1C",'Mapa final'!#REF!),"")</f>
        <v>#REF!</v>
      </c>
      <c r="P46" s="65" t="str">
        <f ca="1">IF(AND('Mapa final'!$AY$7="Muy Baja",'Mapa final'!$BA$7="Menor"),CONCATENATE("R1C",'Mapa final'!$AL$7),"")</f>
        <v/>
      </c>
      <c r="Q46" s="66" t="str">
        <f ca="1">IF(AND('Mapa final'!$AY$8="Muy Baja",'Mapa final'!$BA$8="Menor"),CONCATENATE("R1C",'Mapa final'!$AL$8),"")</f>
        <v/>
      </c>
      <c r="R46" s="66" t="str">
        <f ca="1">IF(AND('Mapa final'!$AY$9="Muy Baja",'Mapa final'!$BA$9="Menor"),CONCATENATE("R1C",'Mapa final'!$AL$9),"")</f>
        <v/>
      </c>
      <c r="S46" s="66" t="str">
        <f ca="1">IF(AND('Mapa final'!$AY$10="Muy Baja",'Mapa final'!$BA$10="Menor"),CONCATENATE("R1C",'Mapa final'!$AL$10),"")</f>
        <v/>
      </c>
      <c r="T46" s="66" t="str">
        <f ca="1">IF(AND('Mapa final'!$AY$11="Muy Baja",'Mapa final'!$BA$11="Menor"),CONCATENATE("R1C",'Mapa final'!$AL$11),"")</f>
        <v/>
      </c>
      <c r="U46" s="67" t="e">
        <f>IF(AND('Mapa final'!#REF!="Muy Baja",'Mapa final'!#REF!="Menor"),CONCATENATE("R1C",'Mapa final'!#REF!),"")</f>
        <v>#REF!</v>
      </c>
      <c r="V46" s="56" t="str">
        <f ca="1">IF(AND('Mapa final'!$AY$7="Muy Baja",'Mapa final'!$BA$7="Moderado"),CONCATENATE("R1C",'Mapa final'!$AL$7),"")</f>
        <v/>
      </c>
      <c r="W46" s="74" t="str">
        <f ca="1">IF(AND('Mapa final'!$AY$8="Muy Baja",'Mapa final'!$BA$8="Moderado"),CONCATENATE("R1C",'Mapa final'!$AL$8),"")</f>
        <v/>
      </c>
      <c r="X46" s="57" t="str">
        <f ca="1">IF(AND('Mapa final'!$AY$9="Muy Baja",'Mapa final'!$BA$9="Moderado"),CONCATENATE("R1C",'Mapa final'!$AL$9),"")</f>
        <v/>
      </c>
      <c r="Y46" s="57" t="str">
        <f ca="1">IF(AND('Mapa final'!$AY$10="Muy Baja",'Mapa final'!$BA$10="Moderado"),CONCATENATE("R1C",'Mapa final'!$AL$10),"")</f>
        <v/>
      </c>
      <c r="Z46" s="57" t="str">
        <f ca="1">IF(AND('Mapa final'!$AY$11="Muy Baja",'Mapa final'!$BA$11="Moderado"),CONCATENATE("R1C",'Mapa final'!$AL$11),"")</f>
        <v>R1C5</v>
      </c>
      <c r="AA46" s="58" t="e">
        <f>IF(AND('Mapa final'!#REF!="Muy Baja",'Mapa final'!#REF!="Moderado"),CONCATENATE("R1C",'Mapa final'!#REF!),"")</f>
        <v>#REF!</v>
      </c>
      <c r="AB46" s="38" t="str">
        <f ca="1">IF(AND('Mapa final'!$AY$7="Muy Baja",'Mapa final'!$BA$7="Mayor"),CONCATENATE("R1C",'Mapa final'!$AL$7),"")</f>
        <v/>
      </c>
      <c r="AC46" s="39" t="str">
        <f ca="1">IF(AND('Mapa final'!$AY$8="Muy Baja",'Mapa final'!$BA$8="Mayor"),CONCATENATE("R1C",'Mapa final'!$AL$8),"")</f>
        <v/>
      </c>
      <c r="AD46" s="39" t="str">
        <f ca="1">IF(AND('Mapa final'!$AY$9="Muy Baja",'Mapa final'!$BA$9="Mayor"),CONCATENATE("R1C",'Mapa final'!$AL$9),"")</f>
        <v/>
      </c>
      <c r="AE46" s="39" t="str">
        <f ca="1">IF(AND('Mapa final'!$AY$10="Muy Baja",'Mapa final'!$BA$10="Mayor"),CONCATENATE("R1C",'Mapa final'!$AL$10),"")</f>
        <v>R1C4</v>
      </c>
      <c r="AF46" s="39" t="str">
        <f ca="1">IF(AND('Mapa final'!$AY$11="Muy Baja",'Mapa final'!$BA$11="Mayor"),CONCATENATE("R1C",'Mapa final'!$AL$11),"")</f>
        <v/>
      </c>
      <c r="AG46" s="40" t="e">
        <f>IF(AND('Mapa final'!#REF!="Muy Baja",'Mapa final'!#REF!="Mayor"),CONCATENATE("R1C",'Mapa final'!#REF!),"")</f>
        <v>#REF!</v>
      </c>
      <c r="AH46" s="41" t="str">
        <f ca="1">IF(AND('Mapa final'!$AY$7="Muy Baja",'Mapa final'!$BA$7="Catastrófico"),CONCATENATE("R1C",'Mapa final'!$AL$7),"")</f>
        <v/>
      </c>
      <c r="AI46" s="42" t="str">
        <f ca="1">IF(AND('Mapa final'!$AY$8="Muy Baja",'Mapa final'!$BA$8="Catastrófico"),CONCATENATE("R1C",'Mapa final'!$AL$8),"")</f>
        <v/>
      </c>
      <c r="AJ46" s="42" t="str">
        <f ca="1">IF(AND('Mapa final'!$AY$9="Muy Baja",'Mapa final'!$BA$9="Catastrófico"),CONCATENATE("R1C",'Mapa final'!$AL$9),"")</f>
        <v>R1C3</v>
      </c>
      <c r="AK46" s="42" t="str">
        <f ca="1">IF(AND('Mapa final'!$AY$10="Muy Baja",'Mapa final'!$BA$10="Catastrófico"),CONCATENATE("R1C",'Mapa final'!$AL$10),"")</f>
        <v/>
      </c>
      <c r="AL46" s="42" t="str">
        <f ca="1">IF(AND('Mapa final'!$AY$11="Muy Baja",'Mapa final'!$BA$11="Catastrófico"),CONCATENATE("R1C",'Mapa final'!$AL$11),"")</f>
        <v/>
      </c>
      <c r="AM46" s="43"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
      <c r="A47" s="1"/>
      <c r="B47" s="273"/>
      <c r="C47" s="153"/>
      <c r="D47" s="154"/>
      <c r="E47" s="165"/>
      <c r="F47" s="153"/>
      <c r="G47" s="153"/>
      <c r="H47" s="153"/>
      <c r="I47" s="154"/>
      <c r="J47" s="68" t="e">
        <f>IF(AND('Mapa final'!#REF!="Muy Baja",'Mapa final'!#REF!="Leve"),CONCATENATE("R2C",'Mapa final'!#REF!),"")</f>
        <v>#REF!</v>
      </c>
      <c r="K47" s="69" t="e">
        <f>IF(AND('Mapa final'!#REF!="Muy Baja",'Mapa final'!#REF!="Leve"),CONCATENATE("R2C",'Mapa final'!#REF!),"")</f>
        <v>#REF!</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e">
        <f>IF(AND('Mapa final'!#REF!="Muy Baja",'Mapa final'!#REF!="Menor"),CONCATENATE("R2C",'Mapa final'!#REF!),"")</f>
        <v>#REF!</v>
      </c>
      <c r="Q47" s="69" t="e">
        <f>IF(AND('Mapa final'!#REF!="Muy Baja",'Mapa final'!#REF!="Menor"),CONCATENATE("R2C",'Mapa final'!#REF!),"")</f>
        <v>#REF!</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e">
        <f>IF(AND('Mapa final'!#REF!="Muy Baja",'Mapa final'!#REF!="Moderado"),CONCATENATE("R2C",'Mapa final'!#REF!),"")</f>
        <v>#REF!</v>
      </c>
      <c r="W47" s="60" t="e">
        <f>IF(AND('Mapa final'!#REF!="Muy Baja",'Mapa final'!#REF!="Moderado"),CONCATENATE("R2C",'Mapa final'!#REF!),"")</f>
        <v>#REF!</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e">
        <f>IF(AND('Mapa final'!#REF!="Muy Baja",'Mapa final'!#REF!="Mayor"),CONCATENATE("R2C",'Mapa final'!#REF!),"")</f>
        <v>#REF!</v>
      </c>
      <c r="AC47" s="45" t="e">
        <f>IF(AND('Mapa final'!#REF!="Muy Baja",'Mapa final'!#REF!="Mayor"),CONCATENATE("R2C",'Mapa final'!#REF!),"")</f>
        <v>#REF!</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e">
        <f>IF(AND('Mapa final'!#REF!="Muy Baja",'Mapa final'!#REF!="Catastrófico"),CONCATENATE("R2C",'Mapa final'!#REF!),"")</f>
        <v>#REF!</v>
      </c>
      <c r="AI47" s="48" t="e">
        <f>IF(AND('Mapa final'!#REF!="Muy Baja",'Mapa final'!#REF!="Catastrófico"),CONCATENATE("R2C",'Mapa final'!#REF!),"")</f>
        <v>#REF!</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
      <c r="A48" s="1"/>
      <c r="B48" s="273"/>
      <c r="C48" s="153"/>
      <c r="D48" s="154"/>
      <c r="E48" s="165"/>
      <c r="F48" s="153"/>
      <c r="G48" s="153"/>
      <c r="H48" s="153"/>
      <c r="I48" s="154"/>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
      <c r="A49" s="1"/>
      <c r="B49" s="273"/>
      <c r="C49" s="153"/>
      <c r="D49" s="154"/>
      <c r="E49" s="165"/>
      <c r="F49" s="153"/>
      <c r="G49" s="153"/>
      <c r="H49" s="153"/>
      <c r="I49" s="154"/>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
      <c r="A50" s="1"/>
      <c r="B50" s="273"/>
      <c r="C50" s="153"/>
      <c r="D50" s="154"/>
      <c r="E50" s="165"/>
      <c r="F50" s="153"/>
      <c r="G50" s="153"/>
      <c r="H50" s="153"/>
      <c r="I50" s="154"/>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
      <c r="A51" s="1"/>
      <c r="B51" s="273"/>
      <c r="C51" s="153"/>
      <c r="D51" s="154"/>
      <c r="E51" s="165"/>
      <c r="F51" s="153"/>
      <c r="G51" s="153"/>
      <c r="H51" s="153"/>
      <c r="I51" s="154"/>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
      <c r="A52" s="1"/>
      <c r="B52" s="273"/>
      <c r="C52" s="153"/>
      <c r="D52" s="154"/>
      <c r="E52" s="165"/>
      <c r="F52" s="153"/>
      <c r="G52" s="153"/>
      <c r="H52" s="153"/>
      <c r="I52" s="154"/>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
      <c r="A53" s="1"/>
      <c r="B53" s="273"/>
      <c r="C53" s="153"/>
      <c r="D53" s="154"/>
      <c r="E53" s="165"/>
      <c r="F53" s="153"/>
      <c r="G53" s="153"/>
      <c r="H53" s="153"/>
      <c r="I53" s="154"/>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
      <c r="A54" s="1"/>
      <c r="B54" s="273"/>
      <c r="C54" s="153"/>
      <c r="D54" s="154"/>
      <c r="E54" s="165"/>
      <c r="F54" s="153"/>
      <c r="G54" s="153"/>
      <c r="H54" s="153"/>
      <c r="I54" s="154"/>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
      <c r="A55" s="1"/>
      <c r="B55" s="230"/>
      <c r="C55" s="275"/>
      <c r="D55" s="231"/>
      <c r="E55" s="242"/>
      <c r="F55" s="266"/>
      <c r="G55" s="266"/>
      <c r="H55" s="266"/>
      <c r="I55" s="245"/>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
      <c r="A56" s="1"/>
      <c r="B56" s="1"/>
      <c r="C56" s="1"/>
      <c r="D56" s="1"/>
      <c r="E56" s="1"/>
      <c r="F56" s="1"/>
      <c r="G56" s="1"/>
      <c r="H56" s="1"/>
      <c r="I56" s="1"/>
      <c r="J56" s="281" t="s">
        <v>98</v>
      </c>
      <c r="K56" s="265"/>
      <c r="L56" s="265"/>
      <c r="M56" s="265"/>
      <c r="N56" s="265"/>
      <c r="O56" s="247"/>
      <c r="P56" s="281" t="s">
        <v>99</v>
      </c>
      <c r="Q56" s="265"/>
      <c r="R56" s="265"/>
      <c r="S56" s="265"/>
      <c r="T56" s="265"/>
      <c r="U56" s="247"/>
      <c r="V56" s="281" t="s">
        <v>100</v>
      </c>
      <c r="W56" s="265"/>
      <c r="X56" s="265"/>
      <c r="Y56" s="265"/>
      <c r="Z56" s="265"/>
      <c r="AA56" s="247"/>
      <c r="AB56" s="281" t="s">
        <v>101</v>
      </c>
      <c r="AC56" s="265"/>
      <c r="AD56" s="265"/>
      <c r="AE56" s="265"/>
      <c r="AF56" s="265"/>
      <c r="AG56" s="247"/>
      <c r="AH56" s="281" t="s">
        <v>102</v>
      </c>
      <c r="AI56" s="265"/>
      <c r="AJ56" s="265"/>
      <c r="AK56" s="265"/>
      <c r="AL56" s="265"/>
      <c r="AM56" s="24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
      <c r="A57" s="1"/>
      <c r="B57" s="1"/>
      <c r="C57" s="1"/>
      <c r="D57" s="1"/>
      <c r="E57" s="1"/>
      <c r="F57" s="1"/>
      <c r="G57" s="1"/>
      <c r="H57" s="1"/>
      <c r="I57" s="1"/>
      <c r="J57" s="165"/>
      <c r="K57" s="153"/>
      <c r="L57" s="153"/>
      <c r="M57" s="153"/>
      <c r="N57" s="153"/>
      <c r="O57" s="154"/>
      <c r="P57" s="165"/>
      <c r="Q57" s="153"/>
      <c r="R57" s="153"/>
      <c r="S57" s="153"/>
      <c r="T57" s="153"/>
      <c r="U57" s="154"/>
      <c r="V57" s="165"/>
      <c r="W57" s="153"/>
      <c r="X57" s="153"/>
      <c r="Y57" s="153"/>
      <c r="Z57" s="153"/>
      <c r="AA57" s="154"/>
      <c r="AB57" s="165"/>
      <c r="AC57" s="153"/>
      <c r="AD57" s="153"/>
      <c r="AE57" s="153"/>
      <c r="AF57" s="153"/>
      <c r="AG57" s="154"/>
      <c r="AH57" s="165"/>
      <c r="AI57" s="153"/>
      <c r="AJ57" s="153"/>
      <c r="AK57" s="153"/>
      <c r="AL57" s="153"/>
      <c r="AM57" s="154"/>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
      <c r="A58" s="1"/>
      <c r="B58" s="1"/>
      <c r="C58" s="1"/>
      <c r="D58" s="1"/>
      <c r="E58" s="1"/>
      <c r="F58" s="1"/>
      <c r="G58" s="1"/>
      <c r="H58" s="1"/>
      <c r="I58" s="1"/>
      <c r="J58" s="165"/>
      <c r="K58" s="153"/>
      <c r="L58" s="153"/>
      <c r="M58" s="153"/>
      <c r="N58" s="153"/>
      <c r="O58" s="154"/>
      <c r="P58" s="165"/>
      <c r="Q58" s="153"/>
      <c r="R58" s="153"/>
      <c r="S58" s="153"/>
      <c r="T58" s="153"/>
      <c r="U58" s="154"/>
      <c r="V58" s="165"/>
      <c r="W58" s="153"/>
      <c r="X58" s="153"/>
      <c r="Y58" s="153"/>
      <c r="Z58" s="153"/>
      <c r="AA58" s="154"/>
      <c r="AB58" s="165"/>
      <c r="AC58" s="153"/>
      <c r="AD58" s="153"/>
      <c r="AE58" s="153"/>
      <c r="AF58" s="153"/>
      <c r="AG58" s="154"/>
      <c r="AH58" s="165"/>
      <c r="AI58" s="153"/>
      <c r="AJ58" s="153"/>
      <c r="AK58" s="153"/>
      <c r="AL58" s="153"/>
      <c r="AM58" s="154"/>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
      <c r="A59" s="1"/>
      <c r="B59" s="1"/>
      <c r="C59" s="1"/>
      <c r="D59" s="1"/>
      <c r="E59" s="1"/>
      <c r="F59" s="1"/>
      <c r="G59" s="1"/>
      <c r="H59" s="1"/>
      <c r="I59" s="1"/>
      <c r="J59" s="165"/>
      <c r="K59" s="153"/>
      <c r="L59" s="153"/>
      <c r="M59" s="153"/>
      <c r="N59" s="153"/>
      <c r="O59" s="154"/>
      <c r="P59" s="165"/>
      <c r="Q59" s="153"/>
      <c r="R59" s="153"/>
      <c r="S59" s="153"/>
      <c r="T59" s="153"/>
      <c r="U59" s="154"/>
      <c r="V59" s="165"/>
      <c r="W59" s="153"/>
      <c r="X59" s="153"/>
      <c r="Y59" s="153"/>
      <c r="Z59" s="153"/>
      <c r="AA59" s="154"/>
      <c r="AB59" s="165"/>
      <c r="AC59" s="153"/>
      <c r="AD59" s="153"/>
      <c r="AE59" s="153"/>
      <c r="AF59" s="153"/>
      <c r="AG59" s="154"/>
      <c r="AH59" s="165"/>
      <c r="AI59" s="153"/>
      <c r="AJ59" s="153"/>
      <c r="AK59" s="153"/>
      <c r="AL59" s="153"/>
      <c r="AM59" s="154"/>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
      <c r="A60" s="1"/>
      <c r="B60" s="1"/>
      <c r="C60" s="1"/>
      <c r="D60" s="1"/>
      <c r="E60" s="1"/>
      <c r="F60" s="1"/>
      <c r="G60" s="1"/>
      <c r="H60" s="1"/>
      <c r="I60" s="1"/>
      <c r="J60" s="165"/>
      <c r="K60" s="153"/>
      <c r="L60" s="153"/>
      <c r="M60" s="153"/>
      <c r="N60" s="153"/>
      <c r="O60" s="154"/>
      <c r="P60" s="165"/>
      <c r="Q60" s="153"/>
      <c r="R60" s="153"/>
      <c r="S60" s="153"/>
      <c r="T60" s="153"/>
      <c r="U60" s="154"/>
      <c r="V60" s="165"/>
      <c r="W60" s="153"/>
      <c r="X60" s="153"/>
      <c r="Y60" s="153"/>
      <c r="Z60" s="153"/>
      <c r="AA60" s="154"/>
      <c r="AB60" s="165"/>
      <c r="AC60" s="153"/>
      <c r="AD60" s="153"/>
      <c r="AE60" s="153"/>
      <c r="AF60" s="153"/>
      <c r="AG60" s="154"/>
      <c r="AH60" s="165"/>
      <c r="AI60" s="153"/>
      <c r="AJ60" s="153"/>
      <c r="AK60" s="153"/>
      <c r="AL60" s="153"/>
      <c r="AM60" s="154"/>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
      <c r="A61" s="1"/>
      <c r="B61" s="1"/>
      <c r="C61" s="1"/>
      <c r="D61" s="1"/>
      <c r="E61" s="1"/>
      <c r="F61" s="1"/>
      <c r="G61" s="1"/>
      <c r="H61" s="1"/>
      <c r="I61" s="1"/>
      <c r="J61" s="242"/>
      <c r="K61" s="266"/>
      <c r="L61" s="266"/>
      <c r="M61" s="266"/>
      <c r="N61" s="266"/>
      <c r="O61" s="245"/>
      <c r="P61" s="242"/>
      <c r="Q61" s="266"/>
      <c r="R61" s="266"/>
      <c r="S61" s="266"/>
      <c r="T61" s="266"/>
      <c r="U61" s="245"/>
      <c r="V61" s="242"/>
      <c r="W61" s="266"/>
      <c r="X61" s="266"/>
      <c r="Y61" s="266"/>
      <c r="Z61" s="266"/>
      <c r="AA61" s="245"/>
      <c r="AB61" s="242"/>
      <c r="AC61" s="266"/>
      <c r="AD61" s="266"/>
      <c r="AE61" s="266"/>
      <c r="AF61" s="266"/>
      <c r="AG61" s="245"/>
      <c r="AH61" s="242"/>
      <c r="AI61" s="266"/>
      <c r="AJ61" s="266"/>
      <c r="AK61" s="266"/>
      <c r="AL61" s="266"/>
      <c r="AM61" s="24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
      <c r="A63" s="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1"/>
      <c r="AV63" s="1"/>
      <c r="AW63" s="1"/>
      <c r="AX63" s="1"/>
      <c r="AY63" s="1"/>
      <c r="AZ63" s="1"/>
      <c r="BA63" s="1"/>
      <c r="BB63" s="1"/>
      <c r="BC63" s="1"/>
      <c r="BD63" s="1"/>
      <c r="BE63" s="1"/>
      <c r="BF63" s="1"/>
      <c r="BG63" s="1"/>
      <c r="BH63" s="1"/>
    </row>
    <row r="64" spans="1:61" ht="15" customHeight="1" x14ac:dyDescent="0.2">
      <c r="A64" s="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1"/>
      <c r="AV64" s="1"/>
      <c r="AW64" s="1"/>
      <c r="AX64" s="1"/>
      <c r="AY64" s="1"/>
      <c r="AZ64" s="1"/>
      <c r="BA64" s="1"/>
      <c r="BB64" s="1"/>
      <c r="BC64" s="1"/>
      <c r="BD64" s="1"/>
      <c r="BE64" s="1"/>
      <c r="BF64" s="1"/>
      <c r="BG64" s="1"/>
      <c r="BH64" s="1"/>
    </row>
    <row r="65" spans="1:60"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
      <c r="A245" s="1"/>
    </row>
    <row r="246" spans="1:60" ht="15.75" customHeight="1" x14ac:dyDescent="0.2">
      <c r="A246" s="1"/>
    </row>
    <row r="247" spans="1:60" ht="15.75" customHeight="1" x14ac:dyDescent="0.2">
      <c r="A247" s="1"/>
    </row>
    <row r="248" spans="1:60" ht="15.75" customHeight="1" x14ac:dyDescent="0.2">
      <c r="A248" s="1"/>
    </row>
    <row r="249" spans="1:60" ht="15.75" customHeight="1" x14ac:dyDescent="0.15"/>
    <row r="250" spans="1:60" ht="15.75" customHeight="1" x14ac:dyDescent="0.15"/>
    <row r="251" spans="1:60" ht="15.75" customHeight="1" x14ac:dyDescent="0.15"/>
    <row r="252" spans="1:60" ht="15.75" customHeight="1" x14ac:dyDescent="0.15"/>
    <row r="253" spans="1:60" ht="15.75" customHeight="1" x14ac:dyDescent="0.15"/>
    <row r="254" spans="1:60" ht="15.75" customHeight="1" x14ac:dyDescent="0.15"/>
    <row r="255" spans="1:60" ht="15.75" customHeight="1" x14ac:dyDescent="0.15"/>
    <row r="256" spans="1:60"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5" defaultRowHeight="15" customHeight="1" x14ac:dyDescent="0.15"/>
  <cols>
    <col min="1" max="1" width="9.33203125" customWidth="1"/>
    <col min="2" max="2" width="21" customWidth="1"/>
    <col min="3" max="3" width="61.33203125" customWidth="1"/>
    <col min="4" max="4" width="26" customWidth="1"/>
    <col min="5" max="26" width="9.33203125" customWidth="1"/>
  </cols>
  <sheetData>
    <row r="1" spans="1:24" ht="23" x14ac:dyDescent="0.2">
      <c r="A1" s="1"/>
      <c r="B1" s="283" t="s">
        <v>104</v>
      </c>
      <c r="C1" s="153"/>
      <c r="D1" s="153"/>
      <c r="E1" s="1"/>
      <c r="F1" s="1"/>
      <c r="G1" s="1"/>
      <c r="H1" s="1"/>
      <c r="I1" s="1"/>
      <c r="J1" s="1"/>
      <c r="K1" s="1"/>
      <c r="L1" s="1"/>
      <c r="M1" s="1"/>
      <c r="N1" s="1"/>
      <c r="O1" s="1"/>
      <c r="P1" s="1"/>
      <c r="Q1" s="1"/>
      <c r="R1" s="1"/>
      <c r="S1" s="1"/>
      <c r="T1" s="1"/>
      <c r="U1" s="1"/>
      <c r="V1" s="1"/>
      <c r="W1" s="1"/>
      <c r="X1" s="1"/>
    </row>
    <row r="2" spans="1:24" x14ac:dyDescent="0.2">
      <c r="A2" s="1"/>
      <c r="B2" s="1"/>
      <c r="C2" s="1"/>
      <c r="D2" s="1"/>
      <c r="E2" s="1"/>
      <c r="F2" s="1"/>
      <c r="G2" s="1"/>
      <c r="H2" s="1"/>
      <c r="I2" s="1"/>
      <c r="J2" s="1"/>
      <c r="K2" s="1"/>
      <c r="L2" s="1"/>
      <c r="M2" s="1"/>
      <c r="N2" s="1"/>
      <c r="O2" s="1"/>
      <c r="P2" s="1"/>
      <c r="Q2" s="1"/>
      <c r="R2" s="1"/>
      <c r="S2" s="1"/>
      <c r="T2" s="1"/>
      <c r="U2" s="1"/>
      <c r="V2" s="1"/>
      <c r="W2" s="1"/>
      <c r="X2" s="1"/>
    </row>
    <row r="3" spans="1:24" ht="26" x14ac:dyDescent="0.2">
      <c r="A3" s="1"/>
      <c r="B3" s="75"/>
      <c r="C3" s="76" t="s">
        <v>105</v>
      </c>
      <c r="D3" s="76" t="s">
        <v>88</v>
      </c>
      <c r="E3" s="1"/>
      <c r="F3" s="1"/>
      <c r="G3" s="1"/>
      <c r="H3" s="1"/>
      <c r="I3" s="1"/>
      <c r="J3" s="1"/>
      <c r="K3" s="1"/>
      <c r="L3" s="1"/>
      <c r="M3" s="1"/>
      <c r="N3" s="1"/>
      <c r="O3" s="1"/>
      <c r="P3" s="1"/>
      <c r="Q3" s="1"/>
      <c r="R3" s="1"/>
      <c r="S3" s="1"/>
      <c r="T3" s="1"/>
      <c r="U3" s="1"/>
      <c r="V3" s="1"/>
      <c r="W3" s="1"/>
      <c r="X3" s="1"/>
    </row>
    <row r="4" spans="1:24" ht="52" x14ac:dyDescent="0.2">
      <c r="A4" s="1"/>
      <c r="B4" s="77" t="s">
        <v>106</v>
      </c>
      <c r="C4" s="78" t="s">
        <v>107</v>
      </c>
      <c r="D4" s="79">
        <v>0.2</v>
      </c>
      <c r="E4" s="1"/>
      <c r="F4" s="1"/>
      <c r="G4" s="1"/>
      <c r="H4" s="1"/>
      <c r="I4" s="1"/>
      <c r="J4" s="1"/>
      <c r="K4" s="1"/>
      <c r="L4" s="1"/>
      <c r="M4" s="1"/>
      <c r="N4" s="1"/>
      <c r="O4" s="1"/>
      <c r="P4" s="1"/>
      <c r="Q4" s="1"/>
      <c r="R4" s="1"/>
      <c r="S4" s="1"/>
      <c r="T4" s="1"/>
      <c r="U4" s="1"/>
      <c r="V4" s="1"/>
      <c r="W4" s="1"/>
      <c r="X4" s="1"/>
    </row>
    <row r="5" spans="1:24" ht="52" x14ac:dyDescent="0.2">
      <c r="A5" s="1"/>
      <c r="B5" s="80" t="s">
        <v>108</v>
      </c>
      <c r="C5" s="81" t="s">
        <v>109</v>
      </c>
      <c r="D5" s="82">
        <v>0.4</v>
      </c>
      <c r="E5" s="1"/>
      <c r="F5" s="1"/>
      <c r="G5" s="1"/>
      <c r="H5" s="1"/>
      <c r="I5" s="1"/>
      <c r="J5" s="1"/>
      <c r="K5" s="1"/>
      <c r="L5" s="1"/>
      <c r="M5" s="1"/>
      <c r="N5" s="1"/>
      <c r="O5" s="1"/>
      <c r="P5" s="1"/>
      <c r="Q5" s="1"/>
      <c r="R5" s="1"/>
      <c r="S5" s="1"/>
      <c r="T5" s="1"/>
      <c r="U5" s="1"/>
      <c r="V5" s="1"/>
      <c r="W5" s="1"/>
      <c r="X5" s="1"/>
    </row>
    <row r="6" spans="1:24" ht="52" x14ac:dyDescent="0.2">
      <c r="A6" s="1"/>
      <c r="B6" s="83" t="s">
        <v>110</v>
      </c>
      <c r="C6" s="81" t="s">
        <v>111</v>
      </c>
      <c r="D6" s="82">
        <v>0.6</v>
      </c>
      <c r="E6" s="1"/>
      <c r="F6" s="1"/>
      <c r="G6" s="1"/>
      <c r="H6" s="1"/>
      <c r="I6" s="1"/>
      <c r="J6" s="1"/>
      <c r="K6" s="1"/>
      <c r="L6" s="1"/>
      <c r="M6" s="1"/>
      <c r="N6" s="1"/>
      <c r="O6" s="1"/>
      <c r="P6" s="1"/>
      <c r="Q6" s="1"/>
      <c r="R6" s="1"/>
      <c r="S6" s="1"/>
      <c r="T6" s="1"/>
      <c r="U6" s="1"/>
      <c r="V6" s="1"/>
      <c r="W6" s="1"/>
      <c r="X6" s="1"/>
    </row>
    <row r="7" spans="1:24" ht="78" x14ac:dyDescent="0.2">
      <c r="A7" s="1"/>
      <c r="B7" s="84" t="s">
        <v>112</v>
      </c>
      <c r="C7" s="81" t="s">
        <v>113</v>
      </c>
      <c r="D7" s="82">
        <v>0.8</v>
      </c>
      <c r="E7" s="1"/>
      <c r="F7" s="1"/>
      <c r="G7" s="1"/>
      <c r="H7" s="1"/>
      <c r="I7" s="1"/>
      <c r="J7" s="1"/>
      <c r="K7" s="1"/>
      <c r="L7" s="1"/>
      <c r="M7" s="1"/>
      <c r="N7" s="1"/>
      <c r="O7" s="1"/>
      <c r="P7" s="1"/>
      <c r="Q7" s="1"/>
      <c r="R7" s="1"/>
      <c r="S7" s="1"/>
      <c r="T7" s="1"/>
      <c r="U7" s="1"/>
      <c r="V7" s="1"/>
      <c r="W7" s="1"/>
      <c r="X7" s="1"/>
    </row>
    <row r="8" spans="1:24" ht="52" x14ac:dyDescent="0.2">
      <c r="A8" s="1"/>
      <c r="B8" s="85" t="s">
        <v>114</v>
      </c>
      <c r="C8" s="81" t="s">
        <v>115</v>
      </c>
      <c r="D8" s="82">
        <v>1</v>
      </c>
      <c r="E8" s="1"/>
      <c r="F8" s="1"/>
      <c r="G8" s="1"/>
      <c r="H8" s="1"/>
      <c r="I8" s="1"/>
      <c r="J8" s="1"/>
      <c r="K8" s="1"/>
      <c r="L8" s="1"/>
      <c r="M8" s="1"/>
      <c r="N8" s="1"/>
      <c r="O8" s="1"/>
      <c r="P8" s="1"/>
      <c r="Q8" s="1"/>
      <c r="R8" s="1"/>
      <c r="S8" s="1"/>
      <c r="T8" s="1"/>
      <c r="U8" s="1"/>
      <c r="V8" s="1"/>
      <c r="W8" s="1"/>
      <c r="X8" s="1"/>
    </row>
    <row r="9" spans="1:24" x14ac:dyDescent="0.2">
      <c r="A9" s="1"/>
      <c r="B9" s="1"/>
      <c r="C9" s="1"/>
      <c r="D9" s="1"/>
      <c r="E9" s="1"/>
      <c r="F9" s="1"/>
      <c r="G9" s="1"/>
      <c r="H9" s="1"/>
      <c r="I9" s="1"/>
      <c r="J9" s="1"/>
      <c r="K9" s="1"/>
      <c r="L9" s="1"/>
      <c r="M9" s="1"/>
      <c r="N9" s="1"/>
      <c r="O9" s="1"/>
      <c r="P9" s="1"/>
      <c r="Q9" s="1"/>
      <c r="R9" s="1"/>
      <c r="S9" s="1"/>
      <c r="T9" s="1"/>
      <c r="U9" s="1"/>
      <c r="V9" s="1"/>
      <c r="W9" s="1"/>
      <c r="X9" s="1"/>
    </row>
    <row r="10" spans="1:24" x14ac:dyDescent="0.2">
      <c r="A10" s="1"/>
      <c r="B10" s="86"/>
      <c r="C10" s="1"/>
      <c r="D10" s="1"/>
      <c r="E10" s="1"/>
      <c r="F10" s="1"/>
      <c r="G10" s="1"/>
      <c r="H10" s="1"/>
      <c r="I10" s="1"/>
      <c r="J10" s="1"/>
      <c r="K10" s="1"/>
      <c r="L10" s="1"/>
      <c r="M10" s="1"/>
      <c r="N10" s="1"/>
      <c r="O10" s="1"/>
      <c r="P10" s="1"/>
      <c r="Q10" s="1"/>
      <c r="R10" s="1"/>
      <c r="S10" s="1"/>
      <c r="T10" s="1"/>
      <c r="U10" s="1"/>
      <c r="V10" s="1"/>
      <c r="W10" s="1"/>
      <c r="X10" s="1"/>
    </row>
    <row r="11" spans="1:24" x14ac:dyDescent="0.2">
      <c r="A11" s="1"/>
      <c r="B11" s="1"/>
      <c r="C11" s="1"/>
      <c r="D11" s="1"/>
      <c r="E11" s="1"/>
      <c r="F11" s="1"/>
      <c r="G11" s="1"/>
      <c r="H11" s="1"/>
      <c r="I11" s="1"/>
      <c r="J11" s="1"/>
      <c r="K11" s="1"/>
      <c r="L11" s="1"/>
      <c r="M11" s="1"/>
      <c r="N11" s="1"/>
      <c r="O11" s="1"/>
      <c r="P11" s="1"/>
      <c r="Q11" s="1"/>
      <c r="R11" s="1"/>
      <c r="S11" s="1"/>
      <c r="T11" s="1"/>
      <c r="U11" s="1"/>
      <c r="V11" s="1"/>
      <c r="W11" s="1"/>
      <c r="X11" s="1"/>
    </row>
    <row r="12" spans="1:24" x14ac:dyDescent="0.2">
      <c r="A12" s="1"/>
      <c r="B12" s="1"/>
      <c r="C12" s="1"/>
      <c r="D12" s="1"/>
      <c r="E12" s="1"/>
      <c r="F12" s="1"/>
      <c r="G12" s="1"/>
      <c r="H12" s="1"/>
      <c r="I12" s="1"/>
      <c r="J12" s="1"/>
      <c r="K12" s="1"/>
      <c r="L12" s="1"/>
      <c r="M12" s="1"/>
      <c r="N12" s="1"/>
      <c r="O12" s="1"/>
      <c r="P12" s="1"/>
      <c r="Q12" s="1"/>
      <c r="R12" s="1"/>
      <c r="S12" s="1"/>
      <c r="T12" s="1"/>
      <c r="U12" s="1"/>
      <c r="V12" s="1"/>
      <c r="W12" s="1"/>
      <c r="X12" s="1"/>
    </row>
    <row r="13" spans="1:24" x14ac:dyDescent="0.2">
      <c r="A13" s="1"/>
      <c r="B13" s="1"/>
      <c r="C13" s="1"/>
      <c r="D13" s="1"/>
      <c r="E13" s="1"/>
      <c r="F13" s="1"/>
      <c r="G13" s="1"/>
      <c r="H13" s="1"/>
      <c r="I13" s="1"/>
      <c r="J13" s="1"/>
      <c r="K13" s="1"/>
      <c r="L13" s="1"/>
      <c r="M13" s="1"/>
      <c r="N13" s="1"/>
      <c r="O13" s="1"/>
      <c r="P13" s="1"/>
      <c r="Q13" s="1"/>
      <c r="R13" s="1"/>
      <c r="S13" s="1"/>
      <c r="T13" s="1"/>
      <c r="U13" s="1"/>
      <c r="V13" s="1"/>
      <c r="W13" s="1"/>
      <c r="X13" s="1"/>
    </row>
    <row r="14" spans="1:24" x14ac:dyDescent="0.2">
      <c r="A14" s="1"/>
      <c r="B14" s="1"/>
      <c r="C14" s="1"/>
      <c r="D14" s="1"/>
      <c r="E14" s="1"/>
      <c r="F14" s="1"/>
      <c r="G14" s="1"/>
      <c r="H14" s="1"/>
      <c r="I14" s="1"/>
      <c r="J14" s="1"/>
      <c r="K14" s="1"/>
      <c r="L14" s="1"/>
      <c r="M14" s="1"/>
      <c r="N14" s="1"/>
      <c r="O14" s="1"/>
      <c r="P14" s="1"/>
      <c r="Q14" s="1"/>
      <c r="R14" s="1"/>
      <c r="S14" s="1"/>
      <c r="T14" s="1"/>
      <c r="U14" s="1"/>
      <c r="V14" s="1"/>
      <c r="W14" s="1"/>
      <c r="X14" s="1"/>
    </row>
    <row r="15" spans="1:24" x14ac:dyDescent="0.2">
      <c r="A15" s="1"/>
      <c r="B15" s="1"/>
      <c r="C15" s="1"/>
      <c r="D15" s="1"/>
      <c r="E15" s="1"/>
      <c r="F15" s="1"/>
      <c r="G15" s="1"/>
      <c r="H15" s="1"/>
      <c r="I15" s="1"/>
      <c r="J15" s="1"/>
      <c r="K15" s="1"/>
      <c r="L15" s="1"/>
      <c r="M15" s="1"/>
      <c r="N15" s="1"/>
      <c r="O15" s="1"/>
      <c r="P15" s="1"/>
      <c r="Q15" s="1"/>
      <c r="R15" s="1"/>
      <c r="S15" s="1"/>
      <c r="T15" s="1"/>
      <c r="U15" s="1"/>
      <c r="V15" s="1"/>
      <c r="W15" s="1"/>
      <c r="X15" s="1"/>
    </row>
    <row r="16" spans="1:24" x14ac:dyDescent="0.2">
      <c r="A16" s="1"/>
      <c r="B16" s="1"/>
      <c r="C16" s="1"/>
      <c r="D16" s="1"/>
      <c r="E16" s="1"/>
      <c r="F16" s="1"/>
      <c r="G16" s="1"/>
      <c r="H16" s="1"/>
      <c r="I16" s="1"/>
      <c r="J16" s="1"/>
      <c r="K16" s="1"/>
      <c r="L16" s="1"/>
      <c r="M16" s="1"/>
      <c r="N16" s="1"/>
      <c r="O16" s="1"/>
      <c r="P16" s="1"/>
      <c r="Q16" s="1"/>
      <c r="R16" s="1"/>
      <c r="S16" s="1"/>
      <c r="T16" s="1"/>
      <c r="U16" s="1"/>
      <c r="V16" s="1"/>
      <c r="W16" s="1"/>
      <c r="X16" s="1"/>
    </row>
    <row r="17" spans="1:24" x14ac:dyDescent="0.2">
      <c r="A17" s="1"/>
      <c r="B17" s="1"/>
      <c r="C17" s="1"/>
      <c r="D17" s="1"/>
      <c r="E17" s="1"/>
      <c r="F17" s="1"/>
      <c r="G17" s="1"/>
      <c r="H17" s="1"/>
      <c r="I17" s="1"/>
      <c r="J17" s="1"/>
      <c r="K17" s="1"/>
      <c r="L17" s="1"/>
      <c r="M17" s="1"/>
      <c r="N17" s="1"/>
      <c r="O17" s="1"/>
      <c r="P17" s="1"/>
      <c r="Q17" s="1"/>
      <c r="R17" s="1"/>
      <c r="S17" s="1"/>
      <c r="T17" s="1"/>
      <c r="U17" s="1"/>
      <c r="V17" s="1"/>
      <c r="W17" s="1"/>
      <c r="X17" s="1"/>
    </row>
    <row r="18" spans="1:24" x14ac:dyDescent="0.2">
      <c r="A18" s="1"/>
      <c r="B18" s="1"/>
      <c r="C18" s="1"/>
      <c r="D18" s="1"/>
      <c r="E18" s="1"/>
      <c r="F18" s="1"/>
      <c r="G18" s="1"/>
      <c r="H18" s="1"/>
      <c r="I18" s="1"/>
      <c r="J18" s="1"/>
      <c r="K18" s="1"/>
      <c r="L18" s="1"/>
      <c r="M18" s="1"/>
      <c r="N18" s="1"/>
      <c r="O18" s="1"/>
      <c r="P18" s="1"/>
      <c r="Q18" s="1"/>
      <c r="R18" s="1"/>
      <c r="S18" s="1"/>
      <c r="T18" s="1"/>
      <c r="U18" s="1"/>
      <c r="V18" s="1"/>
      <c r="W18" s="1"/>
      <c r="X18" s="1"/>
    </row>
    <row r="19" spans="1:24" x14ac:dyDescent="0.2">
      <c r="A19" s="1"/>
      <c r="B19" s="1"/>
      <c r="C19" s="1"/>
      <c r="D19" s="1"/>
      <c r="E19" s="1"/>
      <c r="F19" s="1"/>
      <c r="G19" s="1"/>
      <c r="H19" s="1"/>
      <c r="I19" s="1"/>
      <c r="J19" s="1"/>
      <c r="K19" s="1"/>
      <c r="L19" s="1"/>
      <c r="M19" s="1"/>
      <c r="N19" s="1"/>
      <c r="O19" s="1"/>
      <c r="P19" s="1"/>
      <c r="Q19" s="1"/>
      <c r="R19" s="1"/>
      <c r="S19" s="1"/>
      <c r="T19" s="1"/>
      <c r="U19" s="1"/>
      <c r="V19" s="1"/>
      <c r="W19" s="1"/>
      <c r="X19" s="1"/>
    </row>
    <row r="20" spans="1:24"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E33" s="1"/>
      <c r="F33" s="1"/>
      <c r="G33" s="1"/>
      <c r="H33" s="1"/>
      <c r="I33" s="1"/>
      <c r="J33" s="1"/>
      <c r="K33" s="1"/>
      <c r="L33" s="1"/>
      <c r="M33" s="1"/>
      <c r="N33" s="1"/>
      <c r="O33" s="1"/>
      <c r="P33" s="1"/>
      <c r="Q33" s="1"/>
      <c r="R33" s="1"/>
      <c r="S33" s="1"/>
      <c r="T33" s="1"/>
      <c r="U33" s="1"/>
      <c r="V33" s="1"/>
      <c r="W33" s="1"/>
      <c r="X33" s="1"/>
    </row>
    <row r="34" spans="1:24" ht="15.75" customHeight="1" x14ac:dyDescent="0.2">
      <c r="A34" s="1"/>
      <c r="E34" s="1"/>
      <c r="F34" s="1"/>
      <c r="G34" s="1"/>
      <c r="H34" s="1"/>
      <c r="I34" s="1"/>
      <c r="J34" s="1"/>
      <c r="K34" s="1"/>
      <c r="L34" s="1"/>
      <c r="M34" s="1"/>
      <c r="N34" s="1"/>
      <c r="O34" s="1"/>
      <c r="P34" s="1"/>
      <c r="Q34" s="1"/>
      <c r="R34" s="1"/>
      <c r="S34" s="1"/>
      <c r="T34" s="1"/>
      <c r="U34" s="1"/>
      <c r="V34" s="1"/>
      <c r="W34" s="1"/>
      <c r="X34" s="1"/>
    </row>
    <row r="35" spans="1:24" ht="15.75" customHeight="1" x14ac:dyDescent="0.2">
      <c r="A35" s="1"/>
    </row>
    <row r="36" spans="1:24" ht="15.75" customHeight="1" x14ac:dyDescent="0.2">
      <c r="A36" s="1"/>
    </row>
    <row r="37" spans="1:24" ht="15.75" customHeight="1" x14ac:dyDescent="0.2">
      <c r="A37" s="1"/>
    </row>
    <row r="38" spans="1:24" ht="15.75" customHeight="1" x14ac:dyDescent="0.2">
      <c r="A38" s="1"/>
    </row>
    <row r="39" spans="1:24" ht="15.75" customHeight="1" x14ac:dyDescent="0.2">
      <c r="A39" s="1"/>
    </row>
    <row r="40" spans="1:24" ht="15.75" customHeight="1" x14ac:dyDescent="0.2">
      <c r="A40" s="1"/>
    </row>
    <row r="41" spans="1:24" ht="15.75" customHeight="1" x14ac:dyDescent="0.2">
      <c r="A41" s="1"/>
    </row>
    <row r="42" spans="1:24" ht="15.75" customHeight="1" x14ac:dyDescent="0.2">
      <c r="A42" s="1"/>
    </row>
    <row r="43" spans="1:24" ht="15.75" customHeight="1" x14ac:dyDescent="0.2">
      <c r="A43" s="1"/>
    </row>
    <row r="44" spans="1:24" ht="15.75" customHeight="1" x14ac:dyDescent="0.2">
      <c r="A44" s="1"/>
    </row>
    <row r="45" spans="1:24" ht="15.75" customHeight="1" x14ac:dyDescent="0.2">
      <c r="A45" s="1"/>
    </row>
    <row r="46" spans="1:24" ht="15.75" customHeight="1" x14ac:dyDescent="0.2">
      <c r="A46" s="1"/>
    </row>
    <row r="47" spans="1:24" ht="15.75" customHeight="1" x14ac:dyDescent="0.2">
      <c r="A47" s="1"/>
    </row>
    <row r="48" spans="1:24" ht="15.75" customHeight="1" x14ac:dyDescent="0.2">
      <c r="A48" s="1"/>
    </row>
    <row r="49" spans="1:1" ht="15.75" customHeight="1" x14ac:dyDescent="0.2">
      <c r="A49" s="1"/>
    </row>
    <row r="50" spans="1:1" ht="15.75" customHeight="1" x14ac:dyDescent="0.2">
      <c r="A50" s="1"/>
    </row>
    <row r="51" spans="1:1" ht="15.75" customHeight="1" x14ac:dyDescent="0.2">
      <c r="A51" s="1"/>
    </row>
    <row r="52" spans="1:1" ht="15.75" customHeight="1" x14ac:dyDescent="0.2">
      <c r="A52" s="1"/>
    </row>
    <row r="53" spans="1:1" ht="15.75" customHeight="1" x14ac:dyDescent="0.2">
      <c r="A53" s="1"/>
    </row>
    <row r="54" spans="1:1" ht="15.75" customHeight="1" x14ac:dyDescent="0.2">
      <c r="A54" s="1"/>
    </row>
    <row r="55" spans="1:1" ht="15.75" customHeight="1" x14ac:dyDescent="0.2">
      <c r="A55" s="1"/>
    </row>
    <row r="56" spans="1:1" ht="15.75" customHeight="1" x14ac:dyDescent="0.15"/>
    <row r="57" spans="1:1" ht="15.75" customHeight="1" x14ac:dyDescent="0.15"/>
    <row r="58" spans="1:1" ht="15.75" customHeight="1" x14ac:dyDescent="0.15"/>
    <row r="59" spans="1:1" ht="15.75" customHeight="1" x14ac:dyDescent="0.15"/>
    <row r="60" spans="1:1" ht="15.75" customHeight="1" x14ac:dyDescent="0.15"/>
    <row r="61" spans="1:1" ht="15.75" customHeight="1" x14ac:dyDescent="0.15"/>
    <row r="62" spans="1:1" ht="15.75" customHeight="1" x14ac:dyDescent="0.15"/>
    <row r="63" spans="1:1" ht="15.75" customHeight="1" x14ac:dyDescent="0.15"/>
    <row r="64" spans="1:1"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2.5" defaultRowHeight="15" customHeight="1" x14ac:dyDescent="0.15"/>
  <cols>
    <col min="1" max="1" width="9.33203125" customWidth="1"/>
    <col min="2" max="2" width="35.33203125" customWidth="1"/>
    <col min="3" max="3" width="65.5" customWidth="1"/>
    <col min="4" max="4" width="118" customWidth="1"/>
    <col min="5" max="5" width="126.5" customWidth="1"/>
    <col min="6" max="26" width="9.33203125" customWidth="1"/>
  </cols>
  <sheetData>
    <row r="1" spans="1:21" ht="33" x14ac:dyDescent="0.2">
      <c r="A1" s="1"/>
      <c r="B1" s="284" t="s">
        <v>116</v>
      </c>
      <c r="C1" s="153"/>
      <c r="D1" s="153"/>
      <c r="E1" s="1"/>
      <c r="F1" s="1"/>
      <c r="G1" s="1"/>
      <c r="H1" s="1"/>
      <c r="I1" s="1"/>
      <c r="J1" s="1"/>
      <c r="K1" s="1"/>
      <c r="L1" s="1"/>
      <c r="M1" s="1"/>
      <c r="N1" s="1"/>
      <c r="O1" s="1"/>
      <c r="P1" s="1"/>
      <c r="Q1" s="1"/>
      <c r="R1" s="1"/>
      <c r="S1" s="1"/>
      <c r="T1" s="1"/>
      <c r="U1" s="1"/>
    </row>
    <row r="2" spans="1:21" x14ac:dyDescent="0.2">
      <c r="A2" s="1"/>
      <c r="B2" s="1"/>
      <c r="C2" s="1"/>
      <c r="D2" s="1"/>
      <c r="E2" s="1"/>
      <c r="F2" s="1"/>
      <c r="G2" s="1"/>
      <c r="H2" s="1"/>
      <c r="I2" s="1"/>
      <c r="J2" s="1"/>
      <c r="K2" s="1"/>
      <c r="L2" s="1"/>
      <c r="M2" s="1"/>
      <c r="N2" s="1"/>
      <c r="O2" s="1"/>
      <c r="P2" s="1"/>
      <c r="Q2" s="1"/>
      <c r="R2" s="1"/>
      <c r="S2" s="1"/>
      <c r="T2" s="1"/>
      <c r="U2" s="1"/>
    </row>
    <row r="3" spans="1:21" ht="31" x14ac:dyDescent="0.2">
      <c r="A3" s="1"/>
      <c r="B3" s="87"/>
      <c r="C3" s="88" t="s">
        <v>117</v>
      </c>
      <c r="D3" s="88" t="s">
        <v>118</v>
      </c>
      <c r="E3" s="1"/>
      <c r="F3" s="1"/>
      <c r="G3" s="1"/>
      <c r="H3" s="1"/>
      <c r="I3" s="1"/>
      <c r="J3" s="1"/>
      <c r="K3" s="1"/>
      <c r="L3" s="1"/>
      <c r="M3" s="1"/>
      <c r="N3" s="1"/>
      <c r="O3" s="1"/>
      <c r="P3" s="1"/>
      <c r="Q3" s="1"/>
      <c r="R3" s="1"/>
      <c r="S3" s="1"/>
      <c r="T3" s="1"/>
      <c r="U3" s="1"/>
    </row>
    <row r="4" spans="1:21" ht="34" x14ac:dyDescent="0.2">
      <c r="A4" s="89" t="s">
        <v>119</v>
      </c>
      <c r="B4" s="90" t="s">
        <v>120</v>
      </c>
      <c r="C4" s="91" t="s">
        <v>121</v>
      </c>
      <c r="D4" s="92" t="s">
        <v>122</v>
      </c>
      <c r="E4" s="1"/>
      <c r="F4" s="1"/>
      <c r="G4" s="1"/>
      <c r="H4" s="1"/>
      <c r="I4" s="1"/>
      <c r="J4" s="1"/>
      <c r="K4" s="1"/>
      <c r="L4" s="1"/>
      <c r="M4" s="1"/>
      <c r="N4" s="1"/>
      <c r="O4" s="1"/>
      <c r="P4" s="1"/>
      <c r="Q4" s="1"/>
      <c r="R4" s="1"/>
      <c r="S4" s="1"/>
      <c r="T4" s="1"/>
      <c r="U4" s="1"/>
    </row>
    <row r="5" spans="1:21" ht="102" x14ac:dyDescent="0.2">
      <c r="A5" s="89" t="s">
        <v>123</v>
      </c>
      <c r="B5" s="93" t="s">
        <v>124</v>
      </c>
      <c r="C5" s="94" t="s">
        <v>125</v>
      </c>
      <c r="D5" s="95" t="s">
        <v>126</v>
      </c>
      <c r="E5" s="1"/>
      <c r="F5" s="1"/>
      <c r="G5" s="1"/>
      <c r="H5" s="1"/>
      <c r="I5" s="1"/>
      <c r="J5" s="1"/>
      <c r="K5" s="1"/>
      <c r="L5" s="1"/>
      <c r="M5" s="1"/>
      <c r="N5" s="1"/>
      <c r="O5" s="1"/>
      <c r="P5" s="1"/>
      <c r="Q5" s="1"/>
      <c r="R5" s="1"/>
      <c r="S5" s="1"/>
      <c r="T5" s="1"/>
      <c r="U5" s="1"/>
    </row>
    <row r="6" spans="1:21" ht="68" x14ac:dyDescent="0.2">
      <c r="A6" s="89" t="s">
        <v>94</v>
      </c>
      <c r="B6" s="96" t="s">
        <v>127</v>
      </c>
      <c r="C6" s="94" t="s">
        <v>128</v>
      </c>
      <c r="D6" s="95" t="s">
        <v>129</v>
      </c>
      <c r="E6" s="1"/>
      <c r="F6" s="1"/>
      <c r="G6" s="1"/>
      <c r="H6" s="1"/>
      <c r="I6" s="1"/>
      <c r="J6" s="1"/>
      <c r="K6" s="1"/>
      <c r="L6" s="1"/>
      <c r="M6" s="1"/>
      <c r="N6" s="1"/>
      <c r="O6" s="1"/>
      <c r="P6" s="1"/>
      <c r="Q6" s="1"/>
      <c r="R6" s="1"/>
      <c r="S6" s="1"/>
      <c r="T6" s="1"/>
      <c r="U6" s="1"/>
    </row>
    <row r="7" spans="1:21" ht="102" x14ac:dyDescent="0.2">
      <c r="A7" s="89" t="s">
        <v>130</v>
      </c>
      <c r="B7" s="97" t="s">
        <v>131</v>
      </c>
      <c r="C7" s="94" t="s">
        <v>132</v>
      </c>
      <c r="D7" s="95" t="s">
        <v>133</v>
      </c>
      <c r="E7" s="1"/>
      <c r="F7" s="1"/>
      <c r="G7" s="1"/>
      <c r="H7" s="1"/>
      <c r="I7" s="1"/>
      <c r="J7" s="1"/>
      <c r="K7" s="1"/>
      <c r="L7" s="1"/>
      <c r="M7" s="1"/>
      <c r="N7" s="1"/>
      <c r="O7" s="1"/>
      <c r="P7" s="1"/>
      <c r="Q7" s="1"/>
      <c r="R7" s="1"/>
      <c r="S7" s="1"/>
      <c r="T7" s="1"/>
      <c r="U7" s="1"/>
    </row>
    <row r="8" spans="1:21" ht="68" x14ac:dyDescent="0.2">
      <c r="A8" s="89" t="s">
        <v>134</v>
      </c>
      <c r="B8" s="98" t="s">
        <v>135</v>
      </c>
      <c r="C8" s="94" t="s">
        <v>136</v>
      </c>
      <c r="D8" s="95" t="s">
        <v>137</v>
      </c>
      <c r="E8" s="1"/>
      <c r="F8" s="1"/>
      <c r="G8" s="1"/>
      <c r="H8" s="1"/>
      <c r="I8" s="1"/>
      <c r="J8" s="1"/>
      <c r="K8" s="1"/>
      <c r="L8" s="1"/>
      <c r="M8" s="1"/>
      <c r="N8" s="1"/>
      <c r="O8" s="1"/>
      <c r="P8" s="1"/>
      <c r="Q8" s="1"/>
      <c r="R8" s="1"/>
      <c r="S8" s="1"/>
      <c r="T8" s="1"/>
      <c r="U8" s="1"/>
    </row>
    <row r="9" spans="1:21" ht="20" x14ac:dyDescent="0.2">
      <c r="A9" s="89"/>
      <c r="B9" s="89"/>
      <c r="C9" s="99"/>
      <c r="D9" s="99"/>
      <c r="E9" s="1"/>
      <c r="F9" s="1"/>
      <c r="G9" s="1"/>
      <c r="H9" s="1"/>
      <c r="I9" s="1"/>
      <c r="J9" s="1"/>
      <c r="K9" s="1"/>
      <c r="L9" s="1"/>
      <c r="M9" s="1"/>
      <c r="N9" s="1"/>
      <c r="O9" s="1"/>
      <c r="P9" s="1"/>
      <c r="Q9" s="1"/>
      <c r="R9" s="1"/>
      <c r="S9" s="1"/>
      <c r="T9" s="1"/>
      <c r="U9" s="1"/>
    </row>
    <row r="10" spans="1:21" x14ac:dyDescent="0.2">
      <c r="A10" s="89"/>
      <c r="B10" s="100"/>
      <c r="C10" s="100"/>
      <c r="D10" s="100"/>
      <c r="E10" s="1"/>
      <c r="F10" s="1"/>
      <c r="G10" s="1"/>
      <c r="H10" s="1"/>
      <c r="I10" s="1"/>
      <c r="J10" s="1"/>
      <c r="K10" s="1"/>
      <c r="L10" s="1"/>
      <c r="M10" s="1"/>
      <c r="N10" s="1"/>
      <c r="O10" s="1"/>
      <c r="P10" s="1"/>
      <c r="Q10" s="1"/>
      <c r="R10" s="1"/>
      <c r="S10" s="1"/>
      <c r="T10" s="1"/>
      <c r="U10" s="1"/>
    </row>
    <row r="11" spans="1:21" x14ac:dyDescent="0.2">
      <c r="A11" s="89"/>
      <c r="B11" s="89" t="s">
        <v>138</v>
      </c>
      <c r="C11" s="89" t="s">
        <v>139</v>
      </c>
      <c r="D11" s="89" t="s">
        <v>140</v>
      </c>
      <c r="E11" s="1"/>
      <c r="F11" s="1"/>
      <c r="G11" s="1"/>
      <c r="H11" s="1"/>
      <c r="I11" s="1"/>
      <c r="J11" s="1"/>
      <c r="K11" s="1"/>
      <c r="L11" s="1"/>
      <c r="M11" s="1"/>
      <c r="N11" s="1"/>
      <c r="O11" s="1"/>
      <c r="P11" s="1"/>
      <c r="Q11" s="1"/>
      <c r="R11" s="1"/>
      <c r="S11" s="1"/>
      <c r="T11" s="1"/>
      <c r="U11" s="1"/>
    </row>
    <row r="12" spans="1:21" x14ac:dyDescent="0.2">
      <c r="A12" s="89"/>
      <c r="B12" s="89" t="s">
        <v>141</v>
      </c>
      <c r="C12" s="89" t="s">
        <v>142</v>
      </c>
      <c r="D12" s="89" t="s">
        <v>143</v>
      </c>
      <c r="E12" s="1"/>
      <c r="F12" s="1"/>
      <c r="G12" s="1"/>
      <c r="H12" s="1"/>
      <c r="I12" s="1"/>
      <c r="J12" s="1"/>
      <c r="K12" s="1"/>
      <c r="L12" s="1"/>
      <c r="M12" s="1"/>
      <c r="N12" s="1"/>
      <c r="O12" s="1"/>
      <c r="P12" s="1"/>
      <c r="Q12" s="1"/>
      <c r="R12" s="1"/>
      <c r="S12" s="1"/>
      <c r="T12" s="1"/>
      <c r="U12" s="1"/>
    </row>
    <row r="13" spans="1:21" x14ac:dyDescent="0.2">
      <c r="A13" s="89"/>
      <c r="B13" s="89"/>
      <c r="C13" s="89" t="s">
        <v>144</v>
      </c>
      <c r="D13" s="89" t="s">
        <v>145</v>
      </c>
      <c r="E13" s="1"/>
      <c r="F13" s="1"/>
      <c r="G13" s="1"/>
      <c r="H13" s="1"/>
      <c r="I13" s="1"/>
      <c r="J13" s="1"/>
      <c r="K13" s="1"/>
      <c r="L13" s="1"/>
      <c r="M13" s="1"/>
      <c r="N13" s="1"/>
      <c r="O13" s="1"/>
      <c r="P13" s="1"/>
      <c r="Q13" s="1"/>
      <c r="R13" s="1"/>
      <c r="S13" s="1"/>
      <c r="T13" s="1"/>
      <c r="U13" s="1"/>
    </row>
    <row r="14" spans="1:21" x14ac:dyDescent="0.2">
      <c r="A14" s="89"/>
      <c r="B14" s="89"/>
      <c r="C14" s="89" t="s">
        <v>146</v>
      </c>
      <c r="D14" s="89" t="s">
        <v>147</v>
      </c>
      <c r="E14" s="1"/>
      <c r="F14" s="1"/>
      <c r="G14" s="1"/>
      <c r="H14" s="1"/>
      <c r="I14" s="1"/>
      <c r="J14" s="1"/>
      <c r="K14" s="1"/>
      <c r="L14" s="1"/>
      <c r="M14" s="1"/>
      <c r="N14" s="1"/>
      <c r="O14" s="1"/>
      <c r="P14" s="1"/>
      <c r="Q14" s="1"/>
      <c r="R14" s="1"/>
      <c r="S14" s="1"/>
      <c r="T14" s="1"/>
      <c r="U14" s="1"/>
    </row>
    <row r="15" spans="1:21" x14ac:dyDescent="0.2">
      <c r="A15" s="89"/>
      <c r="B15" s="89"/>
      <c r="C15" s="89" t="s">
        <v>148</v>
      </c>
      <c r="D15" s="89" t="s">
        <v>149</v>
      </c>
      <c r="E15" s="1"/>
      <c r="F15" s="1"/>
      <c r="G15" s="1"/>
      <c r="H15" s="1"/>
      <c r="I15" s="1"/>
      <c r="J15" s="1"/>
      <c r="K15" s="1"/>
      <c r="L15" s="1"/>
      <c r="M15" s="1"/>
      <c r="N15" s="1"/>
      <c r="O15" s="1"/>
      <c r="P15" s="1"/>
      <c r="Q15" s="1"/>
      <c r="R15" s="1"/>
      <c r="S15" s="1"/>
      <c r="T15" s="1"/>
      <c r="U15" s="1"/>
    </row>
    <row r="16" spans="1:21" x14ac:dyDescent="0.2">
      <c r="A16" s="89"/>
      <c r="B16" s="89"/>
      <c r="C16" s="89"/>
      <c r="D16" s="89"/>
      <c r="E16" s="1"/>
      <c r="F16" s="1"/>
      <c r="G16" s="1"/>
      <c r="H16" s="1"/>
      <c r="I16" s="1"/>
      <c r="J16" s="1"/>
      <c r="K16" s="1"/>
      <c r="L16" s="1"/>
      <c r="M16" s="1"/>
      <c r="N16" s="1"/>
      <c r="O16" s="1"/>
    </row>
    <row r="17" spans="1:15" x14ac:dyDescent="0.2">
      <c r="A17" s="89"/>
      <c r="B17" s="89"/>
      <c r="C17" s="89"/>
      <c r="D17" s="89"/>
      <c r="E17" s="1"/>
      <c r="F17" s="1"/>
      <c r="G17" s="1"/>
      <c r="H17" s="1"/>
      <c r="I17" s="1"/>
      <c r="J17" s="1"/>
      <c r="K17" s="1"/>
      <c r="L17" s="1"/>
      <c r="M17" s="1"/>
      <c r="N17" s="1"/>
      <c r="O17" s="1"/>
    </row>
    <row r="18" spans="1:15" x14ac:dyDescent="0.2">
      <c r="A18" s="89"/>
      <c r="B18" s="1"/>
      <c r="C18" s="1"/>
      <c r="D18" s="1"/>
      <c r="E18" s="1"/>
      <c r="F18" s="1"/>
      <c r="G18" s="1"/>
      <c r="H18" s="1"/>
      <c r="I18" s="1"/>
      <c r="J18" s="1"/>
      <c r="K18" s="1"/>
      <c r="L18" s="1"/>
      <c r="M18" s="1"/>
      <c r="N18" s="1"/>
      <c r="O18" s="1"/>
    </row>
    <row r="19" spans="1:15" x14ac:dyDescent="0.2">
      <c r="A19" s="89"/>
      <c r="B19" s="1"/>
      <c r="C19" s="1"/>
      <c r="D19" s="1"/>
      <c r="E19" s="1"/>
      <c r="F19" s="1"/>
      <c r="G19" s="1"/>
      <c r="H19" s="1"/>
      <c r="I19" s="1"/>
      <c r="J19" s="1"/>
      <c r="K19" s="1"/>
      <c r="L19" s="1"/>
      <c r="M19" s="1"/>
      <c r="N19" s="1"/>
      <c r="O19" s="1"/>
    </row>
    <row r="20" spans="1:15" x14ac:dyDescent="0.2">
      <c r="A20" s="89"/>
      <c r="B20" s="1"/>
      <c r="C20" s="1"/>
      <c r="D20" s="1"/>
      <c r="E20" s="1"/>
      <c r="F20" s="1"/>
      <c r="G20" s="1"/>
      <c r="H20" s="1"/>
      <c r="I20" s="1"/>
      <c r="J20" s="1"/>
      <c r="K20" s="1"/>
      <c r="L20" s="1"/>
      <c r="M20" s="1"/>
      <c r="N20" s="1"/>
      <c r="O20" s="1"/>
    </row>
    <row r="21" spans="1:15" ht="15.75" customHeight="1" x14ac:dyDescent="0.2">
      <c r="A21" s="89"/>
      <c r="B21" s="1"/>
      <c r="C21" s="1"/>
      <c r="D21" s="1"/>
      <c r="E21" s="1"/>
      <c r="F21" s="1"/>
      <c r="G21" s="1"/>
      <c r="H21" s="1"/>
      <c r="I21" s="1"/>
      <c r="J21" s="1"/>
      <c r="K21" s="1"/>
      <c r="L21" s="1"/>
      <c r="M21" s="1"/>
      <c r="N21" s="1"/>
      <c r="O21" s="1"/>
    </row>
    <row r="22" spans="1:15" ht="15.75" customHeight="1" x14ac:dyDescent="0.2">
      <c r="A22" s="89"/>
      <c r="B22" s="89"/>
      <c r="C22" s="99"/>
      <c r="D22" s="99"/>
      <c r="E22" s="1"/>
      <c r="F22" s="1"/>
      <c r="G22" s="1"/>
      <c r="H22" s="1"/>
      <c r="I22" s="1"/>
      <c r="J22" s="1"/>
      <c r="K22" s="1"/>
      <c r="L22" s="1"/>
      <c r="M22" s="1"/>
      <c r="N22" s="1"/>
      <c r="O22" s="1"/>
    </row>
    <row r="23" spans="1:15" ht="15.75" customHeight="1" x14ac:dyDescent="0.2">
      <c r="A23" s="89"/>
      <c r="B23" s="89"/>
      <c r="C23" s="99"/>
      <c r="D23" s="99"/>
      <c r="E23" s="1"/>
      <c r="F23" s="1"/>
      <c r="G23" s="1"/>
      <c r="H23" s="1"/>
      <c r="I23" s="1"/>
      <c r="J23" s="1"/>
      <c r="K23" s="1"/>
      <c r="L23" s="1"/>
      <c r="M23" s="1"/>
      <c r="N23" s="1"/>
      <c r="O23" s="1"/>
    </row>
    <row r="24" spans="1:15" ht="15.75" customHeight="1" x14ac:dyDescent="0.2">
      <c r="A24" s="89"/>
      <c r="B24" s="89"/>
      <c r="C24" s="99"/>
      <c r="D24" s="99"/>
      <c r="E24" s="1"/>
      <c r="F24" s="1"/>
      <c r="G24" s="1"/>
      <c r="H24" s="1"/>
      <c r="I24" s="1"/>
      <c r="J24" s="1"/>
      <c r="K24" s="1"/>
      <c r="L24" s="1"/>
      <c r="M24" s="1"/>
      <c r="N24" s="1"/>
      <c r="O24" s="1"/>
    </row>
    <row r="25" spans="1:15" ht="15.75" customHeight="1" x14ac:dyDescent="0.2">
      <c r="A25" s="89"/>
      <c r="B25" s="89"/>
      <c r="C25" s="99"/>
      <c r="D25" s="99"/>
      <c r="E25" s="1"/>
      <c r="F25" s="1"/>
      <c r="G25" s="1"/>
      <c r="H25" s="1"/>
      <c r="I25" s="1"/>
      <c r="J25" s="1"/>
      <c r="K25" s="1"/>
      <c r="L25" s="1"/>
      <c r="M25" s="1"/>
      <c r="N25" s="1"/>
      <c r="O25" s="1"/>
    </row>
    <row r="26" spans="1:15" ht="15.75" customHeight="1" x14ac:dyDescent="0.2">
      <c r="A26" s="89"/>
      <c r="B26" s="89"/>
      <c r="C26" s="99"/>
      <c r="D26" s="99"/>
      <c r="E26" s="1"/>
      <c r="F26" s="1"/>
      <c r="G26" s="1"/>
      <c r="H26" s="1"/>
      <c r="I26" s="1"/>
      <c r="J26" s="1"/>
      <c r="K26" s="1"/>
      <c r="L26" s="1"/>
      <c r="M26" s="1"/>
      <c r="N26" s="1"/>
      <c r="O26" s="1"/>
    </row>
    <row r="27" spans="1:15" ht="15.75" customHeight="1" x14ac:dyDescent="0.2">
      <c r="A27" s="89"/>
      <c r="B27" s="89"/>
      <c r="C27" s="99"/>
      <c r="D27" s="99"/>
      <c r="E27" s="1"/>
      <c r="F27" s="1"/>
      <c r="G27" s="1"/>
      <c r="H27" s="1"/>
      <c r="I27" s="1"/>
      <c r="J27" s="1"/>
      <c r="K27" s="1"/>
      <c r="L27" s="1"/>
      <c r="M27" s="1"/>
      <c r="N27" s="1"/>
      <c r="O27" s="1"/>
    </row>
    <row r="28" spans="1:15" ht="15.75" customHeight="1" x14ac:dyDescent="0.2">
      <c r="A28" s="89"/>
      <c r="B28" s="89"/>
      <c r="C28" s="99"/>
      <c r="D28" s="99"/>
      <c r="E28" s="1"/>
      <c r="F28" s="1"/>
      <c r="G28" s="1"/>
      <c r="H28" s="1"/>
      <c r="I28" s="1"/>
      <c r="J28" s="1"/>
      <c r="K28" s="1"/>
      <c r="L28" s="1"/>
      <c r="M28" s="1"/>
      <c r="N28" s="1"/>
      <c r="O28" s="1"/>
    </row>
    <row r="29" spans="1:15" ht="15.75" customHeight="1" x14ac:dyDescent="0.2">
      <c r="A29" s="89"/>
      <c r="B29" s="89"/>
      <c r="C29" s="99"/>
      <c r="D29" s="99"/>
      <c r="E29" s="1"/>
      <c r="F29" s="1"/>
      <c r="G29" s="1"/>
      <c r="H29" s="1"/>
      <c r="I29" s="1"/>
      <c r="J29" s="1"/>
      <c r="K29" s="1"/>
      <c r="L29" s="1"/>
      <c r="M29" s="1"/>
      <c r="N29" s="1"/>
      <c r="O29" s="1"/>
    </row>
    <row r="30" spans="1:15" ht="15.75" customHeight="1" x14ac:dyDescent="0.2">
      <c r="A30" s="89"/>
      <c r="B30" s="89"/>
      <c r="C30" s="99"/>
      <c r="D30" s="99"/>
      <c r="E30" s="1"/>
      <c r="F30" s="1"/>
      <c r="G30" s="1"/>
      <c r="H30" s="1"/>
      <c r="I30" s="1"/>
      <c r="J30" s="1"/>
      <c r="K30" s="1"/>
      <c r="L30" s="1"/>
      <c r="M30" s="1"/>
      <c r="N30" s="1"/>
      <c r="O30" s="1"/>
    </row>
    <row r="31" spans="1:15" ht="15.75" customHeight="1" x14ac:dyDescent="0.2">
      <c r="A31" s="89"/>
      <c r="B31" s="89"/>
      <c r="C31" s="99"/>
      <c r="D31" s="99"/>
      <c r="E31" s="1"/>
      <c r="F31" s="1"/>
      <c r="G31" s="1"/>
      <c r="H31" s="1"/>
      <c r="I31" s="1"/>
      <c r="J31" s="1"/>
      <c r="K31" s="1"/>
      <c r="L31" s="1"/>
      <c r="M31" s="1"/>
      <c r="N31" s="1"/>
      <c r="O31" s="1"/>
    </row>
    <row r="32" spans="1:15" ht="15.75" customHeight="1" x14ac:dyDescent="0.2">
      <c r="A32" s="89"/>
      <c r="B32" s="89"/>
      <c r="C32" s="99"/>
      <c r="D32" s="99"/>
      <c r="E32" s="1"/>
      <c r="F32" s="1"/>
      <c r="G32" s="1"/>
      <c r="H32" s="1"/>
      <c r="I32" s="1"/>
      <c r="J32" s="1"/>
      <c r="K32" s="1"/>
      <c r="L32" s="1"/>
      <c r="M32" s="1"/>
      <c r="N32" s="1"/>
      <c r="O32" s="1"/>
    </row>
    <row r="33" spans="1:15" ht="15.75" customHeight="1" x14ac:dyDescent="0.2">
      <c r="A33" s="89"/>
      <c r="B33" s="89"/>
      <c r="C33" s="99"/>
      <c r="D33" s="99"/>
      <c r="E33" s="1"/>
      <c r="F33" s="1"/>
      <c r="G33" s="1"/>
      <c r="H33" s="1"/>
      <c r="I33" s="1"/>
      <c r="J33" s="1"/>
      <c r="K33" s="1"/>
      <c r="L33" s="1"/>
      <c r="M33" s="1"/>
      <c r="N33" s="1"/>
      <c r="O33" s="1"/>
    </row>
    <row r="34" spans="1:15" ht="15.75" customHeight="1" x14ac:dyDescent="0.2">
      <c r="A34" s="89"/>
      <c r="B34" s="89"/>
      <c r="C34" s="99"/>
      <c r="D34" s="99"/>
      <c r="E34" s="1"/>
      <c r="F34" s="1"/>
      <c r="G34" s="1"/>
      <c r="H34" s="1"/>
      <c r="I34" s="1"/>
      <c r="J34" s="1"/>
      <c r="K34" s="1"/>
      <c r="L34" s="1"/>
      <c r="M34" s="1"/>
      <c r="N34" s="1"/>
      <c r="O34" s="1"/>
    </row>
    <row r="35" spans="1:15" ht="15.75" customHeight="1" x14ac:dyDescent="0.2">
      <c r="A35" s="89"/>
      <c r="B35" s="89"/>
      <c r="C35" s="99"/>
      <c r="D35" s="99"/>
      <c r="E35" s="1"/>
      <c r="F35" s="1"/>
      <c r="G35" s="1"/>
      <c r="H35" s="1"/>
      <c r="I35" s="1"/>
      <c r="J35" s="1"/>
      <c r="K35" s="1"/>
      <c r="L35" s="1"/>
      <c r="M35" s="1"/>
      <c r="N35" s="1"/>
      <c r="O35" s="1"/>
    </row>
    <row r="36" spans="1:15" ht="15.75" customHeight="1" x14ac:dyDescent="0.2">
      <c r="A36" s="89"/>
      <c r="B36" s="89"/>
      <c r="C36" s="99"/>
      <c r="D36" s="99"/>
      <c r="E36" s="1"/>
      <c r="F36" s="1"/>
      <c r="G36" s="1"/>
      <c r="H36" s="1"/>
      <c r="I36" s="1"/>
      <c r="J36" s="1"/>
      <c r="K36" s="1"/>
      <c r="L36" s="1"/>
      <c r="M36" s="1"/>
      <c r="N36" s="1"/>
      <c r="O36" s="1"/>
    </row>
    <row r="37" spans="1:15" ht="15.75" customHeight="1" x14ac:dyDescent="0.2">
      <c r="A37" s="89"/>
      <c r="B37" s="89"/>
      <c r="C37" s="99"/>
      <c r="D37" s="99"/>
      <c r="E37" s="1"/>
      <c r="F37" s="1"/>
      <c r="G37" s="1"/>
      <c r="H37" s="1"/>
      <c r="I37" s="1"/>
      <c r="J37" s="1"/>
      <c r="K37" s="1"/>
      <c r="L37" s="1"/>
      <c r="M37" s="1"/>
      <c r="N37" s="1"/>
      <c r="O37" s="1"/>
    </row>
    <row r="38" spans="1:15" ht="15.75" customHeight="1" x14ac:dyDescent="0.2">
      <c r="A38" s="89"/>
      <c r="B38" s="89"/>
      <c r="C38" s="99"/>
      <c r="D38" s="99"/>
      <c r="E38" s="1"/>
      <c r="F38" s="1"/>
      <c r="G38" s="1"/>
      <c r="H38" s="1"/>
      <c r="I38" s="1"/>
      <c r="J38" s="1"/>
      <c r="K38" s="1"/>
      <c r="L38" s="1"/>
      <c r="M38" s="1"/>
      <c r="N38" s="1"/>
      <c r="O38" s="1"/>
    </row>
    <row r="39" spans="1:15" ht="15.75" customHeight="1" x14ac:dyDescent="0.2">
      <c r="A39" s="89"/>
      <c r="B39" s="89"/>
      <c r="C39" s="99"/>
      <c r="D39" s="99"/>
      <c r="E39" s="1"/>
      <c r="F39" s="1"/>
      <c r="G39" s="1"/>
      <c r="H39" s="1"/>
      <c r="I39" s="1"/>
      <c r="J39" s="1"/>
      <c r="K39" s="1"/>
      <c r="L39" s="1"/>
      <c r="M39" s="1"/>
      <c r="N39" s="1"/>
      <c r="O39" s="1"/>
    </row>
    <row r="40" spans="1:15" ht="15.75" customHeight="1" x14ac:dyDescent="0.2">
      <c r="A40" s="89"/>
      <c r="B40" s="89"/>
      <c r="C40" s="99"/>
      <c r="D40" s="99"/>
      <c r="E40" s="1"/>
      <c r="F40" s="1"/>
      <c r="G40" s="1"/>
      <c r="H40" s="1"/>
      <c r="I40" s="1"/>
      <c r="J40" s="1"/>
      <c r="K40" s="1"/>
      <c r="L40" s="1"/>
      <c r="M40" s="1"/>
      <c r="N40" s="1"/>
      <c r="O40" s="1"/>
    </row>
    <row r="41" spans="1:15" ht="15.75" customHeight="1" x14ac:dyDescent="0.2">
      <c r="A41" s="89"/>
      <c r="B41" s="89"/>
      <c r="C41" s="99"/>
      <c r="D41" s="99"/>
      <c r="E41" s="1"/>
      <c r="F41" s="1"/>
      <c r="G41" s="1"/>
      <c r="H41" s="1"/>
      <c r="I41" s="1"/>
      <c r="J41" s="1"/>
      <c r="K41" s="1"/>
      <c r="L41" s="1"/>
      <c r="M41" s="1"/>
      <c r="N41" s="1"/>
      <c r="O41" s="1"/>
    </row>
    <row r="42" spans="1:15" ht="15.75" customHeight="1" x14ac:dyDescent="0.2">
      <c r="A42" s="89"/>
      <c r="B42" s="89"/>
      <c r="C42" s="99"/>
      <c r="D42" s="99"/>
      <c r="E42" s="1"/>
      <c r="F42" s="1"/>
      <c r="G42" s="1"/>
      <c r="H42" s="1"/>
      <c r="I42" s="1"/>
      <c r="J42" s="1"/>
      <c r="K42" s="1"/>
      <c r="L42" s="1"/>
      <c r="M42" s="1"/>
      <c r="N42" s="1"/>
      <c r="O42" s="1"/>
    </row>
    <row r="43" spans="1:15" ht="15.75" customHeight="1" x14ac:dyDescent="0.2">
      <c r="A43" s="89"/>
      <c r="B43" s="89"/>
      <c r="C43" s="99"/>
      <c r="D43" s="99"/>
      <c r="E43" s="1"/>
      <c r="F43" s="1"/>
      <c r="G43" s="1"/>
      <c r="H43" s="1"/>
      <c r="I43" s="1"/>
      <c r="J43" s="1"/>
      <c r="K43" s="1"/>
      <c r="L43" s="1"/>
      <c r="M43" s="1"/>
      <c r="N43" s="1"/>
      <c r="O43" s="1"/>
    </row>
    <row r="44" spans="1:15" ht="15.75" customHeight="1" x14ac:dyDescent="0.2">
      <c r="A44" s="89"/>
      <c r="B44" s="89"/>
      <c r="C44" s="99"/>
      <c r="D44" s="99"/>
      <c r="E44" s="1"/>
      <c r="F44" s="1"/>
      <c r="G44" s="1"/>
      <c r="H44" s="1"/>
      <c r="I44" s="1"/>
      <c r="J44" s="1"/>
      <c r="K44" s="1"/>
      <c r="L44" s="1"/>
      <c r="M44" s="1"/>
      <c r="N44" s="1"/>
      <c r="O44" s="1"/>
    </row>
    <row r="45" spans="1:15" ht="15.75" customHeight="1" x14ac:dyDescent="0.2">
      <c r="A45" s="89"/>
      <c r="B45" s="89"/>
      <c r="C45" s="99"/>
      <c r="D45" s="99"/>
      <c r="E45" s="1"/>
      <c r="F45" s="1"/>
      <c r="G45" s="1"/>
      <c r="H45" s="1"/>
      <c r="I45" s="1"/>
      <c r="J45" s="1"/>
      <c r="K45" s="1"/>
      <c r="L45" s="1"/>
      <c r="M45" s="1"/>
      <c r="N45" s="1"/>
      <c r="O45" s="1"/>
    </row>
    <row r="46" spans="1:15" ht="15.75" customHeight="1" x14ac:dyDescent="0.2">
      <c r="A46" s="89"/>
      <c r="B46" s="89"/>
      <c r="C46" s="99"/>
      <c r="D46" s="99"/>
      <c r="E46" s="1"/>
      <c r="F46" s="1"/>
      <c r="G46" s="1"/>
      <c r="H46" s="1"/>
      <c r="I46" s="1"/>
      <c r="J46" s="1"/>
      <c r="K46" s="1"/>
      <c r="L46" s="1"/>
      <c r="M46" s="1"/>
      <c r="N46" s="1"/>
      <c r="O46" s="1"/>
    </row>
    <row r="47" spans="1:15" ht="15.75" customHeight="1" x14ac:dyDescent="0.2">
      <c r="A47" s="89"/>
      <c r="B47" s="89"/>
      <c r="C47" s="99"/>
      <c r="D47" s="99"/>
      <c r="E47" s="1"/>
      <c r="F47" s="1"/>
      <c r="G47" s="1"/>
      <c r="H47" s="1"/>
      <c r="I47" s="1"/>
      <c r="J47" s="1"/>
      <c r="K47" s="1"/>
      <c r="L47" s="1"/>
      <c r="M47" s="1"/>
      <c r="N47" s="1"/>
      <c r="O47" s="1"/>
    </row>
    <row r="48" spans="1:15" ht="15.75" customHeight="1" x14ac:dyDescent="0.2">
      <c r="A48" s="89"/>
      <c r="B48" s="89"/>
      <c r="C48" s="99"/>
      <c r="D48" s="99"/>
      <c r="E48" s="1"/>
      <c r="F48" s="1"/>
      <c r="G48" s="1"/>
      <c r="H48" s="1"/>
      <c r="I48" s="1"/>
      <c r="J48" s="1"/>
      <c r="K48" s="1"/>
      <c r="L48" s="1"/>
      <c r="M48" s="1"/>
      <c r="N48" s="1"/>
      <c r="O48" s="1"/>
    </row>
    <row r="49" spans="1:15" ht="15.75" customHeight="1" x14ac:dyDescent="0.2">
      <c r="A49" s="89"/>
      <c r="B49" s="89"/>
      <c r="C49" s="99"/>
      <c r="D49" s="99"/>
      <c r="E49" s="1"/>
      <c r="F49" s="1"/>
      <c r="G49" s="1"/>
      <c r="H49" s="1"/>
      <c r="I49" s="1"/>
      <c r="J49" s="1"/>
      <c r="K49" s="1"/>
      <c r="L49" s="1"/>
      <c r="M49" s="1"/>
      <c r="N49" s="1"/>
      <c r="O49" s="1"/>
    </row>
    <row r="50" spans="1:15" ht="15.75" customHeight="1" x14ac:dyDescent="0.2">
      <c r="A50" s="89"/>
      <c r="B50" s="89"/>
      <c r="C50" s="99"/>
      <c r="D50" s="99"/>
      <c r="E50" s="1"/>
      <c r="F50" s="1"/>
      <c r="G50" s="1"/>
      <c r="H50" s="1"/>
      <c r="I50" s="1"/>
      <c r="J50" s="1"/>
      <c r="K50" s="1"/>
      <c r="L50" s="1"/>
      <c r="M50" s="1"/>
      <c r="N50" s="1"/>
      <c r="O50" s="1"/>
    </row>
    <row r="51" spans="1:15" ht="15.75" customHeight="1" x14ac:dyDescent="0.2">
      <c r="A51" s="89"/>
      <c r="B51" s="89"/>
      <c r="C51" s="99"/>
      <c r="D51" s="99"/>
      <c r="E51" s="1"/>
      <c r="F51" s="1"/>
      <c r="G51" s="1"/>
      <c r="H51" s="1"/>
      <c r="I51" s="1"/>
      <c r="J51" s="1"/>
      <c r="K51" s="1"/>
      <c r="L51" s="1"/>
      <c r="M51" s="1"/>
      <c r="N51" s="1"/>
      <c r="O51" s="1"/>
    </row>
    <row r="52" spans="1:15" ht="15.75" customHeight="1" x14ac:dyDescent="0.2">
      <c r="A52" s="89"/>
      <c r="B52" s="101"/>
      <c r="C52" s="102"/>
      <c r="D52" s="102"/>
    </row>
    <row r="53" spans="1:15" ht="15.75" customHeight="1" x14ac:dyDescent="0.2">
      <c r="A53" s="89"/>
      <c r="B53" s="101"/>
      <c r="C53" s="102"/>
      <c r="D53" s="102"/>
    </row>
    <row r="54" spans="1:15" ht="15.75" customHeight="1" x14ac:dyDescent="0.2">
      <c r="A54" s="89"/>
      <c r="B54" s="101"/>
      <c r="C54" s="102"/>
      <c r="D54" s="102"/>
    </row>
    <row r="55" spans="1:15" ht="15.75" customHeight="1" x14ac:dyDescent="0.2">
      <c r="A55" s="89"/>
      <c r="B55" s="101"/>
      <c r="C55" s="102"/>
      <c r="D55" s="102"/>
    </row>
    <row r="56" spans="1:15" ht="15.75" customHeight="1" x14ac:dyDescent="0.2">
      <c r="A56" s="89"/>
      <c r="B56" s="101"/>
      <c r="C56" s="102"/>
      <c r="D56" s="102"/>
    </row>
    <row r="57" spans="1:15" ht="15.75" customHeight="1" x14ac:dyDescent="0.2">
      <c r="A57" s="89"/>
      <c r="B57" s="101"/>
      <c r="C57" s="102"/>
      <c r="D57" s="102"/>
    </row>
    <row r="58" spans="1:15" ht="15.75" customHeight="1" x14ac:dyDescent="0.2">
      <c r="A58" s="89"/>
      <c r="B58" s="101"/>
      <c r="C58" s="102"/>
      <c r="D58" s="102"/>
    </row>
    <row r="59" spans="1:15" ht="15.75" customHeight="1" x14ac:dyDescent="0.2">
      <c r="A59" s="89"/>
      <c r="B59" s="101"/>
      <c r="C59" s="102"/>
      <c r="D59" s="102"/>
    </row>
    <row r="60" spans="1:15" ht="15.75" customHeight="1" x14ac:dyDescent="0.2">
      <c r="A60" s="89"/>
      <c r="B60" s="101"/>
      <c r="C60" s="102"/>
      <c r="D60" s="102"/>
    </row>
    <row r="61" spans="1:15" ht="15.75" customHeight="1" x14ac:dyDescent="0.2">
      <c r="A61" s="89"/>
      <c r="B61" s="101"/>
      <c r="C61" s="102"/>
      <c r="D61" s="102"/>
    </row>
    <row r="62" spans="1:15" ht="15.75" customHeight="1" x14ac:dyDescent="0.2">
      <c r="A62" s="89"/>
      <c r="B62" s="101"/>
      <c r="C62" s="102"/>
      <c r="D62" s="102"/>
    </row>
    <row r="63" spans="1:15" ht="15.75" customHeight="1" x14ac:dyDescent="0.2">
      <c r="A63" s="89"/>
      <c r="B63" s="101"/>
      <c r="C63" s="102"/>
      <c r="D63" s="102"/>
    </row>
    <row r="64" spans="1:15" ht="15.75" customHeight="1" x14ac:dyDescent="0.2">
      <c r="A64" s="89"/>
      <c r="B64" s="101"/>
      <c r="C64" s="102"/>
      <c r="D64" s="102"/>
    </row>
    <row r="65" spans="1:4" ht="15.75" customHeight="1" x14ac:dyDescent="0.2">
      <c r="A65" s="89"/>
      <c r="B65" s="101"/>
      <c r="C65" s="102"/>
      <c r="D65" s="102"/>
    </row>
    <row r="66" spans="1:4" ht="15.75" customHeight="1" x14ac:dyDescent="0.2">
      <c r="A66" s="89"/>
      <c r="B66" s="101"/>
      <c r="C66" s="102"/>
      <c r="D66" s="102"/>
    </row>
    <row r="67" spans="1:4" ht="15.75" customHeight="1" x14ac:dyDescent="0.2">
      <c r="A67" s="89"/>
      <c r="B67" s="101"/>
      <c r="C67" s="102"/>
      <c r="D67" s="102"/>
    </row>
    <row r="68" spans="1:4" ht="15.75" customHeight="1" x14ac:dyDescent="0.2">
      <c r="A68" s="89"/>
      <c r="B68" s="101"/>
      <c r="C68" s="102"/>
      <c r="D68" s="102"/>
    </row>
    <row r="69" spans="1:4" ht="15.75" customHeight="1" x14ac:dyDescent="0.2">
      <c r="A69" s="89"/>
      <c r="B69" s="101"/>
      <c r="C69" s="102"/>
      <c r="D69" s="102"/>
    </row>
    <row r="70" spans="1:4" ht="15.75" customHeight="1" x14ac:dyDescent="0.2">
      <c r="A70" s="89"/>
      <c r="B70" s="101"/>
      <c r="C70" s="102"/>
      <c r="D70" s="102"/>
    </row>
    <row r="71" spans="1:4" ht="15.75" customHeight="1" x14ac:dyDescent="0.2">
      <c r="A71" s="89"/>
      <c r="B71" s="101"/>
      <c r="C71" s="102"/>
      <c r="D71" s="102"/>
    </row>
    <row r="72" spans="1:4" ht="15.75" customHeight="1" x14ac:dyDescent="0.2">
      <c r="A72" s="89"/>
      <c r="B72" s="101"/>
      <c r="C72" s="102"/>
      <c r="D72" s="102"/>
    </row>
    <row r="73" spans="1:4" ht="15.75" customHeight="1" x14ac:dyDescent="0.2">
      <c r="A73" s="89"/>
      <c r="B73" s="101"/>
      <c r="C73" s="102"/>
      <c r="D73" s="102"/>
    </row>
    <row r="74" spans="1:4" ht="15.75" customHeight="1" x14ac:dyDescent="0.2">
      <c r="A74" s="89"/>
      <c r="B74" s="101"/>
      <c r="C74" s="102"/>
      <c r="D74" s="102"/>
    </row>
    <row r="75" spans="1:4" ht="15.75" customHeight="1" x14ac:dyDescent="0.2">
      <c r="A75" s="89"/>
      <c r="B75" s="101"/>
      <c r="C75" s="102"/>
      <c r="D75" s="102"/>
    </row>
    <row r="76" spans="1:4" ht="15.75" customHeight="1" x14ac:dyDescent="0.2">
      <c r="A76" s="89"/>
      <c r="B76" s="101"/>
      <c r="C76" s="102"/>
      <c r="D76" s="102"/>
    </row>
    <row r="77" spans="1:4" ht="15.75" customHeight="1" x14ac:dyDescent="0.2">
      <c r="A77" s="89"/>
      <c r="B77" s="101"/>
      <c r="C77" s="102"/>
      <c r="D77" s="102"/>
    </row>
    <row r="78" spans="1:4" ht="15.75" customHeight="1" x14ac:dyDescent="0.2">
      <c r="A78" s="89"/>
      <c r="B78" s="101"/>
      <c r="C78" s="102"/>
      <c r="D78" s="102"/>
    </row>
    <row r="79" spans="1:4" ht="15.75" customHeight="1" x14ac:dyDescent="0.2">
      <c r="A79" s="89"/>
      <c r="B79" s="101"/>
      <c r="C79" s="102"/>
      <c r="D79" s="102"/>
    </row>
    <row r="80" spans="1:4" ht="15.75" customHeight="1" x14ac:dyDescent="0.2">
      <c r="A80" s="89"/>
      <c r="B80" s="101"/>
      <c r="C80" s="102"/>
      <c r="D80" s="102"/>
    </row>
    <row r="81" spans="1:4" ht="15.75" customHeight="1" x14ac:dyDescent="0.2">
      <c r="A81" s="89"/>
      <c r="B81" s="101"/>
      <c r="C81" s="102"/>
      <c r="D81" s="102"/>
    </row>
    <row r="82" spans="1:4" ht="15.75" customHeight="1" x14ac:dyDescent="0.2">
      <c r="A82" s="89"/>
      <c r="B82" s="101"/>
      <c r="C82" s="102"/>
      <c r="D82" s="102"/>
    </row>
    <row r="83" spans="1:4" ht="15.75" customHeight="1" x14ac:dyDescent="0.2">
      <c r="A83" s="89"/>
      <c r="B83" s="101"/>
      <c r="C83" s="102"/>
      <c r="D83" s="102"/>
    </row>
    <row r="84" spans="1:4" ht="15.75" customHeight="1" x14ac:dyDescent="0.2">
      <c r="A84" s="89"/>
      <c r="B84" s="101"/>
      <c r="C84" s="102"/>
      <c r="D84" s="102"/>
    </row>
    <row r="85" spans="1:4" ht="15.75" customHeight="1" x14ac:dyDescent="0.2">
      <c r="A85" s="89"/>
      <c r="B85" s="101"/>
      <c r="C85" s="102"/>
      <c r="D85" s="102"/>
    </row>
    <row r="86" spans="1:4" ht="15.75" customHeight="1" x14ac:dyDescent="0.2">
      <c r="A86" s="89"/>
      <c r="B86" s="101"/>
      <c r="C86" s="102"/>
      <c r="D86" s="102"/>
    </row>
    <row r="87" spans="1:4" ht="15.75" customHeight="1" x14ac:dyDescent="0.2">
      <c r="A87" s="89"/>
      <c r="B87" s="101"/>
      <c r="C87" s="102"/>
      <c r="D87" s="102"/>
    </row>
    <row r="88" spans="1:4" ht="15.75" customHeight="1" x14ac:dyDescent="0.2">
      <c r="A88" s="89"/>
      <c r="B88" s="101"/>
      <c r="C88" s="102"/>
      <c r="D88" s="102"/>
    </row>
    <row r="89" spans="1:4" ht="15.75" customHeight="1" x14ac:dyDescent="0.2">
      <c r="A89" s="89"/>
      <c r="B89" s="101"/>
      <c r="C89" s="102"/>
      <c r="D89" s="102"/>
    </row>
    <row r="90" spans="1:4" ht="15.75" customHeight="1" x14ac:dyDescent="0.2">
      <c r="A90" s="89"/>
      <c r="B90" s="101"/>
      <c r="C90" s="102"/>
      <c r="D90" s="102"/>
    </row>
    <row r="91" spans="1:4" ht="15.75" customHeight="1" x14ac:dyDescent="0.2">
      <c r="A91" s="89"/>
      <c r="B91" s="101"/>
      <c r="C91" s="102"/>
      <c r="D91" s="102"/>
    </row>
    <row r="92" spans="1:4" ht="15.75" customHeight="1" x14ac:dyDescent="0.2">
      <c r="A92" s="89"/>
      <c r="B92" s="101"/>
      <c r="C92" s="102"/>
      <c r="D92" s="102"/>
    </row>
    <row r="93" spans="1:4" ht="15.75" customHeight="1" x14ac:dyDescent="0.2">
      <c r="A93" s="89"/>
      <c r="B93" s="101"/>
      <c r="C93" s="102"/>
      <c r="D93" s="102"/>
    </row>
    <row r="94" spans="1:4" ht="15.75" customHeight="1" x14ac:dyDescent="0.2">
      <c r="A94" s="89"/>
      <c r="B94" s="101"/>
      <c r="C94" s="102"/>
      <c r="D94" s="102"/>
    </row>
    <row r="95" spans="1:4" ht="15.75" customHeight="1" x14ac:dyDescent="0.2">
      <c r="A95" s="89"/>
      <c r="B95" s="101"/>
      <c r="C95" s="102"/>
      <c r="D95" s="102"/>
    </row>
    <row r="96" spans="1:4" ht="15.75" customHeight="1" x14ac:dyDescent="0.2">
      <c r="A96" s="89"/>
      <c r="B96" s="101"/>
      <c r="C96" s="102"/>
      <c r="D96" s="102"/>
    </row>
    <row r="97" spans="1:4" ht="15.75" customHeight="1" x14ac:dyDescent="0.2">
      <c r="A97" s="89"/>
      <c r="B97" s="101"/>
      <c r="C97" s="102"/>
      <c r="D97" s="102"/>
    </row>
    <row r="98" spans="1:4" ht="15.75" customHeight="1" x14ac:dyDescent="0.2">
      <c r="A98" s="89"/>
      <c r="B98" s="101"/>
      <c r="C98" s="102"/>
      <c r="D98" s="102"/>
    </row>
    <row r="99" spans="1:4" ht="15.75" customHeight="1" x14ac:dyDescent="0.2">
      <c r="A99" s="89"/>
      <c r="B99" s="101"/>
      <c r="C99" s="102"/>
      <c r="D99" s="102"/>
    </row>
    <row r="100" spans="1:4" ht="15.75" customHeight="1" x14ac:dyDescent="0.2">
      <c r="A100" s="89"/>
      <c r="B100" s="101"/>
      <c r="C100" s="102"/>
      <c r="D100" s="102"/>
    </row>
    <row r="101" spans="1:4" ht="15.75" customHeight="1" x14ac:dyDescent="0.2">
      <c r="A101" s="89"/>
      <c r="B101" s="101"/>
      <c r="C101" s="102"/>
      <c r="D101" s="102"/>
    </row>
    <row r="102" spans="1:4" ht="15.75" customHeight="1" x14ac:dyDescent="0.2">
      <c r="A102" s="89"/>
      <c r="B102" s="101"/>
      <c r="C102" s="102"/>
      <c r="D102" s="102"/>
    </row>
    <row r="103" spans="1:4" ht="15.75" customHeight="1" x14ac:dyDescent="0.2">
      <c r="A103" s="89"/>
      <c r="B103" s="101"/>
      <c r="C103" s="102"/>
      <c r="D103" s="102"/>
    </row>
    <row r="104" spans="1:4" ht="15.75" customHeight="1" x14ac:dyDescent="0.2">
      <c r="A104" s="89"/>
      <c r="B104" s="101"/>
      <c r="C104" s="102"/>
      <c r="D104" s="102"/>
    </row>
    <row r="105" spans="1:4" ht="15.75" customHeight="1" x14ac:dyDescent="0.2">
      <c r="A105" s="89"/>
      <c r="B105" s="101"/>
      <c r="C105" s="102"/>
      <c r="D105" s="102"/>
    </row>
    <row r="106" spans="1:4" ht="15.75" customHeight="1" x14ac:dyDescent="0.2">
      <c r="A106" s="89"/>
      <c r="B106" s="101"/>
      <c r="C106" s="102"/>
      <c r="D106" s="102"/>
    </row>
    <row r="107" spans="1:4" ht="15.75" customHeight="1" x14ac:dyDescent="0.2">
      <c r="A107" s="89"/>
      <c r="B107" s="101"/>
      <c r="C107" s="102"/>
      <c r="D107" s="102"/>
    </row>
    <row r="108" spans="1:4" ht="15.75" customHeight="1" x14ac:dyDescent="0.2">
      <c r="A108" s="89"/>
      <c r="B108" s="101"/>
      <c r="C108" s="102"/>
      <c r="D108" s="102"/>
    </row>
    <row r="109" spans="1:4" ht="15.75" customHeight="1" x14ac:dyDescent="0.2">
      <c r="A109" s="89"/>
      <c r="B109" s="101"/>
      <c r="C109" s="102"/>
      <c r="D109" s="102"/>
    </row>
    <row r="110" spans="1:4" ht="15.75" customHeight="1" x14ac:dyDescent="0.2">
      <c r="A110" s="89"/>
      <c r="B110" s="101"/>
      <c r="C110" s="102"/>
      <c r="D110" s="102"/>
    </row>
    <row r="111" spans="1:4" ht="15.75" customHeight="1" x14ac:dyDescent="0.2">
      <c r="A111" s="89"/>
      <c r="B111" s="101"/>
      <c r="C111" s="102"/>
      <c r="D111" s="102"/>
    </row>
    <row r="112" spans="1:4" ht="15.75" customHeight="1" x14ac:dyDescent="0.2">
      <c r="A112" s="89"/>
      <c r="B112" s="101"/>
      <c r="C112" s="102"/>
      <c r="D112" s="102"/>
    </row>
    <row r="113" spans="1:4" ht="15.75" customHeight="1" x14ac:dyDescent="0.2">
      <c r="A113" s="89"/>
      <c r="B113" s="101"/>
      <c r="C113" s="102"/>
      <c r="D113" s="102"/>
    </row>
    <row r="114" spans="1:4" ht="15.75" customHeight="1" x14ac:dyDescent="0.2">
      <c r="A114" s="89"/>
      <c r="B114" s="101"/>
      <c r="C114" s="102"/>
      <c r="D114" s="102"/>
    </row>
    <row r="115" spans="1:4" ht="15.75" customHeight="1" x14ac:dyDescent="0.2">
      <c r="A115" s="89"/>
      <c r="B115" s="101"/>
      <c r="C115" s="102"/>
      <c r="D115" s="102"/>
    </row>
    <row r="116" spans="1:4" ht="15.75" customHeight="1" x14ac:dyDescent="0.2">
      <c r="A116" s="89"/>
      <c r="B116" s="101"/>
      <c r="C116" s="102"/>
      <c r="D116" s="102"/>
    </row>
    <row r="117" spans="1:4" ht="15.75" customHeight="1" x14ac:dyDescent="0.2">
      <c r="A117" s="89"/>
      <c r="B117" s="101"/>
      <c r="C117" s="102"/>
      <c r="D117" s="102"/>
    </row>
    <row r="118" spans="1:4" ht="15.75" customHeight="1" x14ac:dyDescent="0.2">
      <c r="A118" s="89"/>
      <c r="B118" s="101"/>
      <c r="C118" s="102"/>
      <c r="D118" s="102"/>
    </row>
    <row r="119" spans="1:4" ht="15.75" customHeight="1" x14ac:dyDescent="0.2">
      <c r="A119" s="89"/>
      <c r="B119" s="101"/>
      <c r="C119" s="102"/>
      <c r="D119" s="102"/>
    </row>
    <row r="120" spans="1:4" ht="15.75" customHeight="1" x14ac:dyDescent="0.2">
      <c r="A120" s="89"/>
      <c r="B120" s="101"/>
      <c r="C120" s="102"/>
      <c r="D120" s="102"/>
    </row>
    <row r="121" spans="1:4" ht="15.75" customHeight="1" x14ac:dyDescent="0.2">
      <c r="A121" s="89"/>
      <c r="B121" s="101"/>
      <c r="C121" s="102"/>
      <c r="D121" s="102"/>
    </row>
    <row r="122" spans="1:4" ht="15.75" customHeight="1" x14ac:dyDescent="0.2">
      <c r="A122" s="89"/>
      <c r="B122" s="101"/>
      <c r="C122" s="102"/>
      <c r="D122" s="102"/>
    </row>
    <row r="123" spans="1:4" ht="15.75" customHeight="1" x14ac:dyDescent="0.2">
      <c r="A123" s="89"/>
      <c r="B123" s="101"/>
      <c r="C123" s="102"/>
      <c r="D123" s="102"/>
    </row>
    <row r="124" spans="1:4" ht="15.75" customHeight="1" x14ac:dyDescent="0.2">
      <c r="A124" s="89"/>
      <c r="B124" s="101"/>
      <c r="C124" s="102"/>
      <c r="D124" s="102"/>
    </row>
    <row r="125" spans="1:4" ht="15.75" customHeight="1" x14ac:dyDescent="0.2">
      <c r="A125" s="89"/>
      <c r="B125" s="101"/>
      <c r="C125" s="102"/>
      <c r="D125" s="102"/>
    </row>
    <row r="126" spans="1:4" ht="15.75" customHeight="1" x14ac:dyDescent="0.2">
      <c r="A126" s="89"/>
      <c r="B126" s="101"/>
      <c r="C126" s="102"/>
      <c r="D126" s="102"/>
    </row>
    <row r="127" spans="1:4" ht="15.75" customHeight="1" x14ac:dyDescent="0.2">
      <c r="A127" s="89"/>
      <c r="B127" s="101"/>
      <c r="C127" s="102"/>
      <c r="D127" s="102"/>
    </row>
    <row r="128" spans="1:4" ht="15.75" customHeight="1" x14ac:dyDescent="0.2">
      <c r="A128" s="89"/>
      <c r="B128" s="101"/>
      <c r="C128" s="102"/>
      <c r="D128" s="102"/>
    </row>
    <row r="129" spans="1:4" ht="15.75" customHeight="1" x14ac:dyDescent="0.2">
      <c r="A129" s="89"/>
      <c r="B129" s="101"/>
      <c r="C129" s="102"/>
      <c r="D129" s="102"/>
    </row>
    <row r="130" spans="1:4" ht="15.75" customHeight="1" x14ac:dyDescent="0.2">
      <c r="A130" s="89"/>
      <c r="B130" s="101"/>
      <c r="C130" s="102"/>
      <c r="D130" s="102"/>
    </row>
    <row r="131" spans="1:4" ht="15.75" customHeight="1" x14ac:dyDescent="0.2">
      <c r="A131" s="89"/>
      <c r="B131" s="101"/>
      <c r="C131" s="102"/>
      <c r="D131" s="102"/>
    </row>
    <row r="132" spans="1:4" ht="15.75" customHeight="1" x14ac:dyDescent="0.2">
      <c r="A132" s="89"/>
      <c r="B132" s="101"/>
      <c r="C132" s="102"/>
      <c r="D132" s="102"/>
    </row>
    <row r="133" spans="1:4" ht="15.75" customHeight="1" x14ac:dyDescent="0.2">
      <c r="A133" s="89"/>
      <c r="B133" s="101"/>
      <c r="C133" s="102"/>
      <c r="D133" s="102"/>
    </row>
    <row r="134" spans="1:4" ht="15.75" customHeight="1" x14ac:dyDescent="0.2">
      <c r="A134" s="89"/>
      <c r="B134" s="101"/>
      <c r="C134" s="102"/>
      <c r="D134" s="102"/>
    </row>
    <row r="135" spans="1:4" ht="15.75" customHeight="1" x14ac:dyDescent="0.2">
      <c r="A135" s="89"/>
      <c r="B135" s="101"/>
      <c r="C135" s="102"/>
      <c r="D135" s="102"/>
    </row>
    <row r="136" spans="1:4" ht="15.75" customHeight="1" x14ac:dyDescent="0.2">
      <c r="A136" s="89"/>
      <c r="B136" s="101"/>
      <c r="C136" s="102"/>
      <c r="D136" s="102"/>
    </row>
    <row r="137" spans="1:4" ht="15.75" customHeight="1" x14ac:dyDescent="0.2">
      <c r="A137" s="89"/>
      <c r="B137" s="101"/>
      <c r="C137" s="102"/>
      <c r="D137" s="102"/>
    </row>
    <row r="138" spans="1:4" ht="15.75" customHeight="1" x14ac:dyDescent="0.2">
      <c r="A138" s="89"/>
      <c r="B138" s="101"/>
      <c r="C138" s="102"/>
      <c r="D138" s="102"/>
    </row>
    <row r="139" spans="1:4" ht="15.75" customHeight="1" x14ac:dyDescent="0.2">
      <c r="A139" s="89"/>
      <c r="B139" s="101"/>
      <c r="C139" s="102"/>
      <c r="D139" s="102"/>
    </row>
    <row r="140" spans="1:4" ht="15.75" customHeight="1" x14ac:dyDescent="0.2">
      <c r="A140" s="89"/>
      <c r="B140" s="101"/>
      <c r="C140" s="102"/>
      <c r="D140" s="102"/>
    </row>
    <row r="141" spans="1:4" ht="15.75" customHeight="1" x14ac:dyDescent="0.2">
      <c r="A141" s="89"/>
      <c r="B141" s="101"/>
      <c r="C141" s="102"/>
      <c r="D141" s="102"/>
    </row>
    <row r="142" spans="1:4" ht="15.75" customHeight="1" x14ac:dyDescent="0.2">
      <c r="A142" s="89"/>
      <c r="B142" s="101"/>
      <c r="C142" s="102"/>
      <c r="D142" s="102"/>
    </row>
    <row r="143" spans="1:4" ht="15.75" customHeight="1" x14ac:dyDescent="0.2">
      <c r="A143" s="89"/>
      <c r="B143" s="101"/>
      <c r="C143" s="102"/>
      <c r="D143" s="102"/>
    </row>
    <row r="144" spans="1:4" ht="15.75" customHeight="1" x14ac:dyDescent="0.2">
      <c r="A144" s="89"/>
      <c r="B144" s="101"/>
      <c r="C144" s="102"/>
      <c r="D144" s="102"/>
    </row>
    <row r="145" spans="1:4" ht="15.75" customHeight="1" x14ac:dyDescent="0.2">
      <c r="A145" s="89"/>
      <c r="B145" s="101"/>
      <c r="C145" s="102"/>
      <c r="D145" s="102"/>
    </row>
    <row r="146" spans="1:4" ht="15.75" customHeight="1" x14ac:dyDescent="0.2">
      <c r="A146" s="89"/>
      <c r="B146" s="101"/>
      <c r="C146" s="102"/>
      <c r="D146" s="102"/>
    </row>
    <row r="147" spans="1:4" ht="15.75" customHeight="1" x14ac:dyDescent="0.2">
      <c r="A147" s="89"/>
      <c r="B147" s="101"/>
      <c r="C147" s="102"/>
      <c r="D147" s="102"/>
    </row>
    <row r="148" spans="1:4" ht="15.75" customHeight="1" x14ac:dyDescent="0.2">
      <c r="A148" s="89"/>
      <c r="B148" s="101"/>
      <c r="C148" s="102"/>
      <c r="D148" s="102"/>
    </row>
    <row r="149" spans="1:4" ht="15.75" customHeight="1" x14ac:dyDescent="0.2">
      <c r="A149" s="89"/>
      <c r="B149" s="101"/>
      <c r="C149" s="102"/>
      <c r="D149" s="102"/>
    </row>
    <row r="150" spans="1:4" ht="15.75" customHeight="1" x14ac:dyDescent="0.2">
      <c r="A150" s="89"/>
      <c r="B150" s="101"/>
      <c r="C150" s="102"/>
      <c r="D150" s="102"/>
    </row>
    <row r="151" spans="1:4" ht="15.75" customHeight="1" x14ac:dyDescent="0.2">
      <c r="A151" s="89"/>
      <c r="B151" s="101"/>
      <c r="C151" s="102"/>
      <c r="D151" s="102"/>
    </row>
    <row r="152" spans="1:4" ht="15.75" customHeight="1" x14ac:dyDescent="0.2">
      <c r="A152" s="89"/>
      <c r="B152" s="101"/>
      <c r="C152" s="102"/>
      <c r="D152" s="102"/>
    </row>
    <row r="153" spans="1:4" ht="15.75" customHeight="1" x14ac:dyDescent="0.2">
      <c r="A153" s="89"/>
      <c r="B153" s="101"/>
      <c r="C153" s="102"/>
      <c r="D153" s="102"/>
    </row>
    <row r="154" spans="1:4" ht="15.75" customHeight="1" x14ac:dyDescent="0.2">
      <c r="A154" s="89"/>
      <c r="B154" s="101"/>
      <c r="C154" s="102"/>
      <c r="D154" s="102"/>
    </row>
    <row r="155" spans="1:4" ht="15.75" customHeight="1" x14ac:dyDescent="0.2">
      <c r="A155" s="89"/>
      <c r="B155" s="101"/>
      <c r="C155" s="102"/>
      <c r="D155" s="102"/>
    </row>
    <row r="156" spans="1:4" ht="15.75" customHeight="1" x14ac:dyDescent="0.2">
      <c r="A156" s="89"/>
      <c r="B156" s="101"/>
      <c r="C156" s="102"/>
      <c r="D156" s="102"/>
    </row>
    <row r="157" spans="1:4" ht="15.75" customHeight="1" x14ac:dyDescent="0.2">
      <c r="A157" s="89"/>
      <c r="B157" s="101"/>
      <c r="C157" s="102"/>
      <c r="D157" s="102"/>
    </row>
    <row r="158" spans="1:4" ht="15.75" customHeight="1" x14ac:dyDescent="0.2">
      <c r="A158" s="89"/>
      <c r="B158" s="101"/>
      <c r="C158" s="102"/>
      <c r="D158" s="102"/>
    </row>
    <row r="159" spans="1:4" ht="15.75" customHeight="1" x14ac:dyDescent="0.2">
      <c r="A159" s="89"/>
      <c r="B159" s="101"/>
      <c r="C159" s="102"/>
      <c r="D159" s="102"/>
    </row>
    <row r="160" spans="1:4" ht="15.75" customHeight="1" x14ac:dyDescent="0.2">
      <c r="A160" s="89"/>
      <c r="B160" s="101"/>
      <c r="C160" s="102"/>
      <c r="D160" s="102"/>
    </row>
    <row r="161" spans="1:4" ht="15.75" customHeight="1" x14ac:dyDescent="0.2">
      <c r="A161" s="89"/>
      <c r="B161" s="101"/>
      <c r="C161" s="102"/>
      <c r="D161" s="102"/>
    </row>
    <row r="162" spans="1:4" ht="15.75" customHeight="1" x14ac:dyDescent="0.2">
      <c r="A162" s="89"/>
      <c r="B162" s="101"/>
      <c r="C162" s="102"/>
      <c r="D162" s="102"/>
    </row>
    <row r="163" spans="1:4" ht="15.75" customHeight="1" x14ac:dyDescent="0.2">
      <c r="A163" s="89"/>
      <c r="B163" s="101"/>
      <c r="C163" s="102"/>
      <c r="D163" s="102"/>
    </row>
    <row r="164" spans="1:4" ht="15.75" customHeight="1" x14ac:dyDescent="0.2">
      <c r="A164" s="89"/>
      <c r="B164" s="101"/>
      <c r="C164" s="102"/>
      <c r="D164" s="102"/>
    </row>
    <row r="165" spans="1:4" ht="15.75" customHeight="1" x14ac:dyDescent="0.2">
      <c r="A165" s="89"/>
      <c r="B165" s="101"/>
      <c r="C165" s="102"/>
      <c r="D165" s="102"/>
    </row>
    <row r="166" spans="1:4" ht="15.75" customHeight="1" x14ac:dyDescent="0.2">
      <c r="A166" s="89"/>
      <c r="B166" s="101"/>
      <c r="C166" s="102"/>
      <c r="D166" s="102"/>
    </row>
    <row r="167" spans="1:4" ht="15.75" customHeight="1" x14ac:dyDescent="0.2">
      <c r="A167" s="89"/>
      <c r="B167" s="101"/>
      <c r="C167" s="102"/>
      <c r="D167" s="102"/>
    </row>
    <row r="168" spans="1:4" ht="15.75" customHeight="1" x14ac:dyDescent="0.2">
      <c r="A168" s="89"/>
      <c r="B168" s="101"/>
      <c r="C168" s="102"/>
      <c r="D168" s="102"/>
    </row>
    <row r="169" spans="1:4" ht="15.75" customHeight="1" x14ac:dyDescent="0.2">
      <c r="A169" s="89"/>
      <c r="B169" s="101"/>
      <c r="C169" s="102"/>
      <c r="D169" s="102"/>
    </row>
    <row r="170" spans="1:4" ht="15.75" customHeight="1" x14ac:dyDescent="0.2">
      <c r="A170" s="89"/>
      <c r="B170" s="101"/>
      <c r="C170" s="102"/>
      <c r="D170" s="102"/>
    </row>
    <row r="171" spans="1:4" ht="15.75" customHeight="1" x14ac:dyDescent="0.2">
      <c r="A171" s="89"/>
      <c r="B171" s="101"/>
      <c r="C171" s="102"/>
      <c r="D171" s="102"/>
    </row>
    <row r="172" spans="1:4" ht="15.75" customHeight="1" x14ac:dyDescent="0.2">
      <c r="A172" s="89"/>
      <c r="B172" s="101"/>
      <c r="C172" s="102"/>
      <c r="D172" s="102"/>
    </row>
    <row r="173" spans="1:4" ht="15.75" customHeight="1" x14ac:dyDescent="0.2">
      <c r="A173" s="89"/>
      <c r="B173" s="101"/>
      <c r="C173" s="102"/>
      <c r="D173" s="102"/>
    </row>
    <row r="174" spans="1:4" ht="15.75" customHeight="1" x14ac:dyDescent="0.2">
      <c r="A174" s="89"/>
      <c r="B174" s="101"/>
      <c r="C174" s="102"/>
      <c r="D174" s="102"/>
    </row>
    <row r="175" spans="1:4" ht="15.75" customHeight="1" x14ac:dyDescent="0.2">
      <c r="A175" s="89"/>
      <c r="B175" s="101"/>
      <c r="C175" s="102"/>
      <c r="D175" s="102"/>
    </row>
    <row r="176" spans="1:4" ht="15.75" customHeight="1" x14ac:dyDescent="0.2">
      <c r="A176" s="89"/>
      <c r="B176" s="101"/>
      <c r="C176" s="102"/>
      <c r="D176" s="102"/>
    </row>
    <row r="177" spans="1:4" ht="15.75" customHeight="1" x14ac:dyDescent="0.2">
      <c r="A177" s="89"/>
      <c r="B177" s="101"/>
      <c r="C177" s="102"/>
      <c r="D177" s="102"/>
    </row>
    <row r="178" spans="1:4" ht="15.75" customHeight="1" x14ac:dyDescent="0.2">
      <c r="A178" s="89"/>
      <c r="B178" s="101"/>
      <c r="C178" s="102"/>
      <c r="D178" s="102"/>
    </row>
    <row r="179" spans="1:4" ht="15.75" customHeight="1" x14ac:dyDescent="0.2">
      <c r="A179" s="89"/>
      <c r="B179" s="101"/>
      <c r="C179" s="102"/>
      <c r="D179" s="102"/>
    </row>
    <row r="180" spans="1:4" ht="15.75" customHeight="1" x14ac:dyDescent="0.2">
      <c r="A180" s="89"/>
      <c r="B180" s="101"/>
      <c r="C180" s="102"/>
      <c r="D180" s="102"/>
    </row>
    <row r="181" spans="1:4" ht="15.75" customHeight="1" x14ac:dyDescent="0.2">
      <c r="A181" s="89"/>
      <c r="B181" s="101"/>
      <c r="C181" s="102"/>
      <c r="D181" s="102"/>
    </row>
    <row r="182" spans="1:4" ht="15.75" customHeight="1" x14ac:dyDescent="0.2">
      <c r="A182" s="89"/>
      <c r="B182" s="101"/>
      <c r="C182" s="102"/>
      <c r="D182" s="102"/>
    </row>
    <row r="183" spans="1:4" ht="15.75" customHeight="1" x14ac:dyDescent="0.2">
      <c r="A183" s="89"/>
      <c r="B183" s="101"/>
      <c r="C183" s="102"/>
      <c r="D183" s="102"/>
    </row>
    <row r="184" spans="1:4" ht="15.75" customHeight="1" x14ac:dyDescent="0.2">
      <c r="A184" s="89"/>
      <c r="B184" s="101"/>
      <c r="C184" s="102"/>
      <c r="D184" s="102"/>
    </row>
    <row r="185" spans="1:4" ht="15.75" customHeight="1" x14ac:dyDescent="0.2">
      <c r="A185" s="89"/>
      <c r="B185" s="101"/>
      <c r="C185" s="102"/>
      <c r="D185" s="102"/>
    </row>
    <row r="186" spans="1:4" ht="15.75" customHeight="1" x14ac:dyDescent="0.2">
      <c r="A186" s="89"/>
      <c r="B186" s="101"/>
      <c r="C186" s="102"/>
      <c r="D186" s="102"/>
    </row>
    <row r="187" spans="1:4" ht="15.75" customHeight="1" x14ac:dyDescent="0.2">
      <c r="A187" s="89"/>
      <c r="B187" s="101"/>
      <c r="C187" s="102"/>
      <c r="D187" s="102"/>
    </row>
    <row r="188" spans="1:4" ht="15.75" customHeight="1" x14ac:dyDescent="0.2">
      <c r="A188" s="89"/>
      <c r="B188" s="101"/>
      <c r="C188" s="102"/>
      <c r="D188" s="102"/>
    </row>
    <row r="189" spans="1:4" ht="15.75" customHeight="1" x14ac:dyDescent="0.2">
      <c r="A189" s="89"/>
      <c r="B189" s="101"/>
      <c r="C189" s="102"/>
      <c r="D189" s="102"/>
    </row>
    <row r="190" spans="1:4" ht="15.75" customHeight="1" x14ac:dyDescent="0.2">
      <c r="A190" s="89"/>
      <c r="B190" s="101"/>
      <c r="C190" s="102"/>
      <c r="D190" s="102"/>
    </row>
    <row r="191" spans="1:4" ht="15.75" customHeight="1" x14ac:dyDescent="0.2">
      <c r="A191" s="89"/>
      <c r="B191" s="101"/>
      <c r="C191" s="102"/>
      <c r="D191" s="102"/>
    </row>
    <row r="192" spans="1:4" ht="15.75" customHeight="1" x14ac:dyDescent="0.2">
      <c r="A192" s="89"/>
      <c r="B192" s="101"/>
      <c r="C192" s="102"/>
      <c r="D192" s="102"/>
    </row>
    <row r="193" spans="1:4" ht="15.75" customHeight="1" x14ac:dyDescent="0.2">
      <c r="A193" s="89"/>
      <c r="B193" s="101"/>
      <c r="C193" s="102"/>
      <c r="D193" s="102"/>
    </row>
    <row r="194" spans="1:4" ht="15.75" customHeight="1" x14ac:dyDescent="0.2">
      <c r="A194" s="89"/>
      <c r="B194" s="101"/>
      <c r="C194" s="102"/>
      <c r="D194" s="102"/>
    </row>
    <row r="195" spans="1:4" ht="15.75" customHeight="1" x14ac:dyDescent="0.2">
      <c r="A195" s="89"/>
      <c r="B195" s="101"/>
      <c r="C195" s="102"/>
      <c r="D195" s="102"/>
    </row>
    <row r="196" spans="1:4" ht="15.75" customHeight="1" x14ac:dyDescent="0.2">
      <c r="A196" s="89"/>
      <c r="B196" s="101"/>
      <c r="C196" s="102"/>
      <c r="D196" s="102"/>
    </row>
    <row r="197" spans="1:4" ht="15.75" customHeight="1" x14ac:dyDescent="0.2">
      <c r="A197" s="89"/>
      <c r="B197" s="101"/>
      <c r="C197" s="102"/>
      <c r="D197" s="102"/>
    </row>
    <row r="198" spans="1:4" ht="15.75" customHeight="1" x14ac:dyDescent="0.2">
      <c r="A198" s="89"/>
      <c r="B198" s="101"/>
      <c r="C198" s="102"/>
      <c r="D198" s="102"/>
    </row>
    <row r="199" spans="1:4" ht="15.75" customHeight="1" x14ac:dyDescent="0.2">
      <c r="A199" s="89"/>
      <c r="B199" s="101"/>
      <c r="C199" s="102"/>
      <c r="D199" s="102"/>
    </row>
    <row r="200" spans="1:4" ht="15.75" customHeight="1" x14ac:dyDescent="0.2">
      <c r="A200" s="89"/>
      <c r="B200" s="101"/>
      <c r="C200" s="102"/>
      <c r="D200" s="102"/>
    </row>
    <row r="201" spans="1:4" ht="15.75" customHeight="1" x14ac:dyDescent="0.2">
      <c r="A201" s="89"/>
      <c r="B201" s="101"/>
      <c r="C201" s="102"/>
      <c r="D201" s="102"/>
    </row>
    <row r="202" spans="1:4" ht="15.75" customHeight="1" x14ac:dyDescent="0.2">
      <c r="A202" s="89"/>
      <c r="B202" s="101"/>
      <c r="C202" s="102"/>
      <c r="D202" s="102"/>
    </row>
    <row r="203" spans="1:4" ht="15.75" customHeight="1" x14ac:dyDescent="0.2">
      <c r="A203" s="89"/>
      <c r="B203" s="101"/>
      <c r="C203" s="102"/>
      <c r="D203" s="102"/>
    </row>
    <row r="204" spans="1:4" ht="15.75" customHeight="1" x14ac:dyDescent="0.2">
      <c r="A204" s="89"/>
      <c r="B204" s="101"/>
      <c r="C204" s="102"/>
      <c r="D204" s="102"/>
    </row>
    <row r="205" spans="1:4" ht="15.75" customHeight="1" x14ac:dyDescent="0.2">
      <c r="A205" s="89"/>
      <c r="B205" s="101"/>
      <c r="C205" s="102"/>
      <c r="D205" s="102"/>
    </row>
    <row r="206" spans="1:4" ht="15.75" customHeight="1" x14ac:dyDescent="0.2">
      <c r="A206" s="89"/>
      <c r="B206" s="101"/>
      <c r="C206" s="102"/>
      <c r="D206" s="102"/>
    </row>
    <row r="207" spans="1:4" ht="15.75" customHeight="1" x14ac:dyDescent="0.2">
      <c r="A207" s="89"/>
      <c r="B207" s="101"/>
      <c r="C207" s="102"/>
      <c r="D207" s="102"/>
    </row>
    <row r="208" spans="1:4" ht="15.75" customHeight="1" x14ac:dyDescent="0.2">
      <c r="A208" s="1"/>
      <c r="B208" s="101"/>
      <c r="C208" s="101"/>
      <c r="D208" s="101"/>
    </row>
    <row r="209" spans="1:8" ht="15.75" customHeight="1" x14ac:dyDescent="0.2">
      <c r="A209" s="1"/>
      <c r="B209" s="103" t="s">
        <v>150</v>
      </c>
      <c r="C209" s="103" t="s">
        <v>151</v>
      </c>
      <c r="D209" s="104" t="s">
        <v>150</v>
      </c>
      <c r="E209" s="104" t="s">
        <v>151</v>
      </c>
    </row>
    <row r="210" spans="1:8" ht="15.75" customHeight="1" x14ac:dyDescent="0.25">
      <c r="A210" s="1"/>
      <c r="B210" s="105" t="s">
        <v>152</v>
      </c>
      <c r="C210" s="105" t="s">
        <v>153</v>
      </c>
      <c r="D210" s="106" t="s">
        <v>152</v>
      </c>
      <c r="F210" s="106" t="str">
        <f t="shared" ref="F210:F221" si="0">IF(NOT(ISBLANK(D210)),D210,IF(NOT(ISBLANK(E210)),"     "&amp;E210,FALSE))</f>
        <v>Afectación Económica o presupuestal</v>
      </c>
      <c r="G210" s="106" t="s">
        <v>152</v>
      </c>
      <c r="H210" s="106" t="str">
        <f ca="1">IF(NOT(ISERROR(MATCH(G210,ANCHORARRAY(B221),0))),F223&amp;"Por favor no seleccionar los criterios de impacto",G210)</f>
        <v>Afectación Económica o presupuestal</v>
      </c>
    </row>
    <row r="211" spans="1:8" ht="15.75" customHeight="1" x14ac:dyDescent="0.25">
      <c r="A211" s="1"/>
      <c r="B211" s="105" t="s">
        <v>152</v>
      </c>
      <c r="C211" s="105" t="s">
        <v>125</v>
      </c>
      <c r="E211" s="106" t="s">
        <v>153</v>
      </c>
      <c r="F211" s="106" t="str">
        <f t="shared" si="0"/>
        <v xml:space="preserve">     Afectación menor a 10 SMLMV .</v>
      </c>
    </row>
    <row r="212" spans="1:8" ht="15.75" customHeight="1" x14ac:dyDescent="0.25">
      <c r="A212" s="1"/>
      <c r="B212" s="105" t="s">
        <v>152</v>
      </c>
      <c r="C212" s="105" t="s">
        <v>128</v>
      </c>
      <c r="E212" s="106" t="s">
        <v>125</v>
      </c>
      <c r="F212" s="106" t="str">
        <f t="shared" si="0"/>
        <v xml:space="preserve">     Entre 10 y 50 SMLMV </v>
      </c>
    </row>
    <row r="213" spans="1:8" ht="15.75" customHeight="1" x14ac:dyDescent="0.25">
      <c r="A213" s="1"/>
      <c r="B213" s="105" t="s">
        <v>152</v>
      </c>
      <c r="C213" s="105" t="s">
        <v>132</v>
      </c>
      <c r="E213" s="106" t="s">
        <v>128</v>
      </c>
      <c r="F213" s="106" t="str">
        <f t="shared" si="0"/>
        <v xml:space="preserve">     Entre 50 y 100 SMLMV </v>
      </c>
    </row>
    <row r="214" spans="1:8" ht="15.75" customHeight="1" x14ac:dyDescent="0.25">
      <c r="A214" s="1"/>
      <c r="B214" s="105" t="s">
        <v>152</v>
      </c>
      <c r="C214" s="105" t="s">
        <v>136</v>
      </c>
      <c r="E214" s="106" t="s">
        <v>132</v>
      </c>
      <c r="F214" s="106" t="str">
        <f t="shared" si="0"/>
        <v xml:space="preserve">     Entre 100 y 500 SMLMV </v>
      </c>
    </row>
    <row r="215" spans="1:8" ht="15.75" customHeight="1" x14ac:dyDescent="0.25">
      <c r="A215" s="1"/>
      <c r="B215" s="105" t="s">
        <v>118</v>
      </c>
      <c r="C215" s="105" t="s">
        <v>122</v>
      </c>
      <c r="E215" s="106" t="s">
        <v>136</v>
      </c>
      <c r="F215" s="106" t="str">
        <f t="shared" si="0"/>
        <v xml:space="preserve">     Mayor a 500 SMLMV </v>
      </c>
    </row>
    <row r="216" spans="1:8" ht="15.75" customHeight="1" x14ac:dyDescent="0.25">
      <c r="A216" s="1"/>
      <c r="B216" s="105" t="s">
        <v>118</v>
      </c>
      <c r="C216" s="105" t="s">
        <v>126</v>
      </c>
      <c r="D216" s="106" t="s">
        <v>118</v>
      </c>
      <c r="F216" s="106" t="str">
        <f t="shared" si="0"/>
        <v>Pérdida Reputacional</v>
      </c>
    </row>
    <row r="217" spans="1:8" ht="15.75" customHeight="1" x14ac:dyDescent="0.25">
      <c r="A217" s="1"/>
      <c r="B217" s="105" t="s">
        <v>118</v>
      </c>
      <c r="C217" s="105" t="s">
        <v>129</v>
      </c>
      <c r="E217" s="106" t="s">
        <v>122</v>
      </c>
      <c r="F217" s="106" t="str">
        <f t="shared" si="0"/>
        <v xml:space="preserve">     El riesgo afecta la imagen de alguna área de la organización</v>
      </c>
    </row>
    <row r="218" spans="1:8" ht="15.75" customHeight="1" x14ac:dyDescent="0.25">
      <c r="A218" s="1"/>
      <c r="B218" s="105" t="s">
        <v>118</v>
      </c>
      <c r="C218" s="105" t="s">
        <v>133</v>
      </c>
      <c r="E218" s="106" t="s">
        <v>126</v>
      </c>
      <c r="F218" s="106" t="str">
        <f t="shared" si="0"/>
        <v xml:space="preserve">     El riesgo afecta la imagen de la entidad internamente, de conocimiento general, nivel interno, de junta dircetiva y accionistas y/o de provedores</v>
      </c>
    </row>
    <row r="219" spans="1:8" ht="15.75" customHeight="1" x14ac:dyDescent="0.25">
      <c r="A219" s="1"/>
      <c r="B219" s="105" t="s">
        <v>118</v>
      </c>
      <c r="C219" s="105" t="s">
        <v>137</v>
      </c>
      <c r="E219" s="106" t="s">
        <v>129</v>
      </c>
      <c r="F219" s="106" t="str">
        <f t="shared" si="0"/>
        <v xml:space="preserve">     El riesgo afecta la imagen de la entidad con algunos usuarios de relevancia frente al logro de los objetivos</v>
      </c>
    </row>
    <row r="220" spans="1:8" ht="15.75" customHeight="1" x14ac:dyDescent="0.2">
      <c r="A220" s="1"/>
      <c r="B220" s="107"/>
      <c r="C220" s="107"/>
      <c r="E220" s="106" t="s">
        <v>133</v>
      </c>
      <c r="F220" s="106" t="str">
        <f t="shared" si="0"/>
        <v xml:space="preserve">     El riesgo afecta la imagen de de la entidad con efecto publicitario sostenido a nivel de sector administrativo, nivel departamental o municipal</v>
      </c>
    </row>
    <row r="221" spans="1:8" ht="15.75" customHeight="1" x14ac:dyDescent="0.2">
      <c r="A221" s="1"/>
      <c r="B221" s="107" t="str">
        <f ca="1">IFERROR(__xludf.DUMMYFUNCTION("ARRAY_CONSTRAIN(ARRAYFORMULA(UNIQUE('Tabla Impacto'!$B$209:$B$219)), 3, 1)"),"Criterios")</f>
        <v>Criterios</v>
      </c>
      <c r="C221" s="107"/>
      <c r="E221" s="106" t="s">
        <v>137</v>
      </c>
      <c r="F221" s="106" t="str">
        <f t="shared" si="0"/>
        <v xml:space="preserve">     El riesgo afecta la imagen de la entidad a nivel nacional, con efecto publicitarios sostenible a nivel país</v>
      </c>
    </row>
    <row r="222" spans="1:8" ht="15.75" customHeight="1" x14ac:dyDescent="0.2">
      <c r="A222" s="1"/>
      <c r="B222" s="107" t="str">
        <f ca="1">IFERROR(__xludf.DUMMYFUNCTION("""COMPUTED_VALUE"""),"Afectación Económica o presupuestal")</f>
        <v>Afectación Económica o presupuestal</v>
      </c>
      <c r="C222" s="107"/>
    </row>
    <row r="223" spans="1:8" ht="15.75" customHeight="1" x14ac:dyDescent="0.2">
      <c r="B223" s="107" t="str">
        <f ca="1">IFERROR(__xludf.DUMMYFUNCTION("""COMPUTED_VALUE"""),"Pérdida Reputacional")</f>
        <v>Pérdida Reputacional</v>
      </c>
      <c r="C223" s="107"/>
      <c r="F223" s="108" t="s">
        <v>154</v>
      </c>
    </row>
    <row r="224" spans="1:8" ht="15.75" customHeight="1" x14ac:dyDescent="0.2">
      <c r="B224" s="104"/>
      <c r="C224" s="104"/>
      <c r="F224" s="108" t="s">
        <v>155</v>
      </c>
    </row>
    <row r="225" spans="2:4" ht="15.75" customHeight="1" x14ac:dyDescent="0.2">
      <c r="B225" s="104"/>
      <c r="C225" s="104"/>
    </row>
    <row r="226" spans="2:4" ht="15.75" customHeight="1" x14ac:dyDescent="0.2">
      <c r="B226" s="104"/>
      <c r="C226" s="104"/>
    </row>
    <row r="227" spans="2:4" ht="15.75" customHeight="1" x14ac:dyDescent="0.2">
      <c r="B227" s="104"/>
      <c r="C227" s="104"/>
      <c r="D227" s="104"/>
    </row>
    <row r="228" spans="2:4" ht="15.75" customHeight="1" x14ac:dyDescent="0.2">
      <c r="B228" s="104"/>
      <c r="C228" s="104"/>
      <c r="D228" s="104"/>
    </row>
    <row r="229" spans="2:4" ht="15.75" customHeight="1" x14ac:dyDescent="0.2">
      <c r="B229" s="104"/>
      <c r="C229" s="104"/>
      <c r="D229" s="104"/>
    </row>
    <row r="230" spans="2:4" ht="15.75" customHeight="1" x14ac:dyDescent="0.2">
      <c r="B230" s="104"/>
      <c r="C230" s="104"/>
      <c r="D230" s="104"/>
    </row>
    <row r="231" spans="2:4" ht="15.75" customHeight="1" x14ac:dyDescent="0.2">
      <c r="B231" s="104"/>
      <c r="C231" s="104"/>
      <c r="D231" s="104"/>
    </row>
    <row r="232" spans="2:4" ht="15.75" customHeight="1" x14ac:dyDescent="0.2">
      <c r="B232" s="104"/>
      <c r="C232" s="104"/>
      <c r="D232" s="104"/>
    </row>
    <row r="233" spans="2:4" ht="15.75" customHeight="1" x14ac:dyDescent="0.15"/>
    <row r="234" spans="2:4" ht="15.75" customHeight="1" x14ac:dyDescent="0.15"/>
    <row r="235" spans="2:4" ht="15.75" customHeight="1" x14ac:dyDescent="0.15"/>
    <row r="236" spans="2:4" ht="15.75" customHeight="1" x14ac:dyDescent="0.15"/>
    <row r="237" spans="2:4" ht="15.75" customHeight="1" x14ac:dyDescent="0.15"/>
    <row r="238" spans="2:4" ht="15.75" customHeight="1" x14ac:dyDescent="0.15"/>
    <row r="239" spans="2:4" ht="15.75" customHeight="1" x14ac:dyDescent="0.15"/>
    <row r="240" spans="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12" sqref="E12"/>
    </sheetView>
  </sheetViews>
  <sheetFormatPr baseColWidth="10" defaultColWidth="12.5" defaultRowHeight="15" customHeight="1" x14ac:dyDescent="0.15"/>
  <cols>
    <col min="1" max="2" width="12.5" customWidth="1"/>
    <col min="3" max="3" width="14.83203125" customWidth="1"/>
    <col min="4" max="4" width="12.5" customWidth="1"/>
    <col min="5" max="5" width="40.1640625" customWidth="1"/>
    <col min="6" max="26" width="12.5" customWidth="1"/>
  </cols>
  <sheetData>
    <row r="1" spans="1:26" ht="24" customHeight="1" x14ac:dyDescent="0.2">
      <c r="A1" s="109"/>
      <c r="B1" s="290" t="s">
        <v>156</v>
      </c>
      <c r="C1" s="291"/>
      <c r="D1" s="291"/>
      <c r="E1" s="291"/>
      <c r="F1" s="292"/>
      <c r="G1" s="109"/>
      <c r="H1" s="109"/>
      <c r="I1" s="109"/>
      <c r="J1" s="109"/>
      <c r="K1" s="109"/>
      <c r="L1" s="109"/>
      <c r="M1" s="109"/>
      <c r="N1" s="109"/>
      <c r="O1" s="109"/>
      <c r="P1" s="109"/>
      <c r="Q1" s="109"/>
      <c r="R1" s="109"/>
      <c r="S1" s="109"/>
      <c r="T1" s="109"/>
      <c r="U1" s="109"/>
      <c r="V1" s="109"/>
      <c r="W1" s="109"/>
      <c r="X1" s="109"/>
      <c r="Y1" s="109"/>
      <c r="Z1" s="109"/>
    </row>
    <row r="2" spans="1:26" ht="12.75" customHeight="1" x14ac:dyDescent="0.2">
      <c r="A2" s="109"/>
      <c r="B2" s="110"/>
      <c r="C2" s="110"/>
      <c r="D2" s="110"/>
      <c r="E2" s="110"/>
      <c r="F2" s="110"/>
      <c r="G2" s="109"/>
      <c r="H2" s="109"/>
      <c r="I2" s="109"/>
      <c r="J2" s="109"/>
      <c r="K2" s="109"/>
      <c r="L2" s="109"/>
      <c r="M2" s="109"/>
      <c r="N2" s="109"/>
      <c r="O2" s="109"/>
      <c r="P2" s="109"/>
      <c r="Q2" s="109"/>
      <c r="R2" s="109"/>
      <c r="S2" s="109"/>
      <c r="T2" s="109"/>
      <c r="U2" s="109"/>
      <c r="V2" s="109"/>
      <c r="W2" s="109"/>
      <c r="X2" s="109"/>
      <c r="Y2" s="109"/>
      <c r="Z2" s="109"/>
    </row>
    <row r="3" spans="1:26" ht="12.75" customHeight="1" x14ac:dyDescent="0.2">
      <c r="A3" s="109"/>
      <c r="B3" s="293" t="s">
        <v>157</v>
      </c>
      <c r="C3" s="291"/>
      <c r="D3" s="294"/>
      <c r="E3" s="111" t="s">
        <v>158</v>
      </c>
      <c r="F3" s="112" t="s">
        <v>159</v>
      </c>
      <c r="G3" s="109"/>
      <c r="H3" s="109"/>
      <c r="I3" s="109"/>
      <c r="J3" s="109"/>
      <c r="K3" s="109"/>
      <c r="L3" s="109"/>
      <c r="M3" s="109"/>
      <c r="N3" s="109"/>
      <c r="O3" s="109"/>
      <c r="P3" s="109"/>
      <c r="Q3" s="109"/>
      <c r="R3" s="109"/>
      <c r="S3" s="109"/>
      <c r="T3" s="109"/>
      <c r="U3" s="109"/>
      <c r="V3" s="109"/>
      <c r="W3" s="109"/>
      <c r="X3" s="109"/>
      <c r="Y3" s="109"/>
      <c r="Z3" s="109"/>
    </row>
    <row r="4" spans="1:26" ht="12.75" customHeight="1" x14ac:dyDescent="0.2">
      <c r="A4" s="109"/>
      <c r="B4" s="295" t="s">
        <v>160</v>
      </c>
      <c r="C4" s="298" t="s">
        <v>81</v>
      </c>
      <c r="D4" s="113" t="s">
        <v>161</v>
      </c>
      <c r="E4" s="114" t="s">
        <v>162</v>
      </c>
      <c r="F4" s="115">
        <v>0.25</v>
      </c>
      <c r="G4" s="109"/>
      <c r="H4" s="109"/>
      <c r="I4" s="109"/>
      <c r="J4" s="109"/>
      <c r="K4" s="109"/>
      <c r="L4" s="109"/>
      <c r="M4" s="109"/>
      <c r="N4" s="109"/>
      <c r="O4" s="109"/>
      <c r="P4" s="109"/>
      <c r="Q4" s="109"/>
      <c r="R4" s="109"/>
      <c r="S4" s="109"/>
      <c r="T4" s="109"/>
      <c r="U4" s="109"/>
      <c r="V4" s="109"/>
      <c r="W4" s="109"/>
      <c r="X4" s="109"/>
      <c r="Y4" s="109"/>
      <c r="Z4" s="109"/>
    </row>
    <row r="5" spans="1:26" ht="12.75" customHeight="1" x14ac:dyDescent="0.2">
      <c r="A5" s="109"/>
      <c r="B5" s="296"/>
      <c r="C5" s="299"/>
      <c r="D5" s="116" t="s">
        <v>163</v>
      </c>
      <c r="E5" s="117" t="s">
        <v>164</v>
      </c>
      <c r="F5" s="118">
        <v>0.15</v>
      </c>
      <c r="G5" s="109"/>
      <c r="H5" s="109"/>
      <c r="I5" s="109"/>
      <c r="J5" s="109"/>
      <c r="K5" s="109"/>
      <c r="L5" s="109"/>
      <c r="M5" s="109"/>
      <c r="N5" s="109"/>
      <c r="O5" s="109"/>
      <c r="P5" s="109"/>
      <c r="Q5" s="109"/>
      <c r="R5" s="109"/>
      <c r="S5" s="109"/>
      <c r="T5" s="109"/>
      <c r="U5" s="109"/>
      <c r="V5" s="109"/>
      <c r="W5" s="109"/>
      <c r="X5" s="109"/>
      <c r="Y5" s="109"/>
      <c r="Z5" s="109"/>
    </row>
    <row r="6" spans="1:26" ht="12.75" customHeight="1" x14ac:dyDescent="0.2">
      <c r="A6" s="109"/>
      <c r="B6" s="296"/>
      <c r="C6" s="288"/>
      <c r="D6" s="116" t="s">
        <v>165</v>
      </c>
      <c r="E6" s="117" t="s">
        <v>166</v>
      </c>
      <c r="F6" s="118">
        <v>0.1</v>
      </c>
      <c r="G6" s="109"/>
      <c r="H6" s="109"/>
      <c r="I6" s="109"/>
      <c r="J6" s="109"/>
      <c r="K6" s="109"/>
      <c r="L6" s="109"/>
      <c r="M6" s="109"/>
      <c r="N6" s="109"/>
      <c r="O6" s="109"/>
      <c r="P6" s="109"/>
      <c r="Q6" s="109"/>
      <c r="R6" s="109"/>
      <c r="S6" s="109"/>
      <c r="T6" s="109"/>
      <c r="U6" s="109"/>
      <c r="V6" s="109"/>
      <c r="W6" s="109"/>
      <c r="X6" s="109"/>
      <c r="Y6" s="109"/>
      <c r="Z6" s="109"/>
    </row>
    <row r="7" spans="1:26" ht="12.75" customHeight="1" x14ac:dyDescent="0.2">
      <c r="A7" s="109"/>
      <c r="B7" s="296"/>
      <c r="C7" s="287" t="s">
        <v>82</v>
      </c>
      <c r="D7" s="116" t="s">
        <v>167</v>
      </c>
      <c r="E7" s="117" t="s">
        <v>168</v>
      </c>
      <c r="F7" s="118">
        <v>0.25</v>
      </c>
      <c r="G7" s="109"/>
      <c r="H7" s="109"/>
      <c r="I7" s="109"/>
      <c r="J7" s="109"/>
      <c r="K7" s="109"/>
      <c r="L7" s="109"/>
      <c r="M7" s="109"/>
      <c r="N7" s="109"/>
      <c r="O7" s="109"/>
      <c r="P7" s="109"/>
      <c r="Q7" s="109"/>
      <c r="R7" s="109"/>
      <c r="S7" s="109"/>
      <c r="T7" s="109"/>
      <c r="U7" s="109"/>
      <c r="V7" s="109"/>
      <c r="W7" s="109"/>
      <c r="X7" s="109"/>
      <c r="Y7" s="109"/>
      <c r="Z7" s="109"/>
    </row>
    <row r="8" spans="1:26" ht="12.75" customHeight="1" x14ac:dyDescent="0.2">
      <c r="A8" s="109"/>
      <c r="B8" s="297"/>
      <c r="C8" s="288"/>
      <c r="D8" s="116" t="s">
        <v>169</v>
      </c>
      <c r="E8" s="117" t="s">
        <v>170</v>
      </c>
      <c r="F8" s="118">
        <v>0.15</v>
      </c>
      <c r="G8" s="109"/>
      <c r="H8" s="109"/>
      <c r="I8" s="109"/>
      <c r="J8" s="109"/>
      <c r="K8" s="109"/>
      <c r="L8" s="109"/>
      <c r="M8" s="109"/>
      <c r="N8" s="109"/>
      <c r="O8" s="109"/>
      <c r="P8" s="109"/>
      <c r="Q8" s="109"/>
      <c r="R8" s="109"/>
      <c r="S8" s="109"/>
      <c r="T8" s="109"/>
      <c r="U8" s="109"/>
      <c r="V8" s="109"/>
      <c r="W8" s="109"/>
      <c r="X8" s="109"/>
      <c r="Y8" s="109"/>
      <c r="Z8" s="109"/>
    </row>
    <row r="9" spans="1:26" ht="12.75" customHeight="1" x14ac:dyDescent="0.2">
      <c r="A9" s="109"/>
      <c r="B9" s="300" t="s">
        <v>171</v>
      </c>
      <c r="C9" s="287" t="s">
        <v>84</v>
      </c>
      <c r="D9" s="116" t="s">
        <v>172</v>
      </c>
      <c r="E9" s="117" t="s">
        <v>173</v>
      </c>
      <c r="F9" s="119" t="s">
        <v>174</v>
      </c>
      <c r="G9" s="109"/>
      <c r="H9" s="109"/>
      <c r="I9" s="109"/>
      <c r="J9" s="109"/>
      <c r="K9" s="109"/>
      <c r="L9" s="109"/>
      <c r="M9" s="109"/>
      <c r="N9" s="109"/>
      <c r="O9" s="109"/>
      <c r="P9" s="109"/>
      <c r="Q9" s="109"/>
      <c r="R9" s="109"/>
      <c r="S9" s="109"/>
      <c r="T9" s="109"/>
      <c r="U9" s="109"/>
      <c r="V9" s="109"/>
      <c r="W9" s="109"/>
      <c r="X9" s="109"/>
      <c r="Y9" s="109"/>
      <c r="Z9" s="109"/>
    </row>
    <row r="10" spans="1:26" ht="12.75" customHeight="1" x14ac:dyDescent="0.2">
      <c r="A10" s="109"/>
      <c r="B10" s="296"/>
      <c r="C10" s="288"/>
      <c r="D10" s="116" t="s">
        <v>175</v>
      </c>
      <c r="E10" s="117" t="s">
        <v>176</v>
      </c>
      <c r="F10" s="119" t="s">
        <v>174</v>
      </c>
      <c r="G10" s="109"/>
      <c r="H10" s="109"/>
      <c r="I10" s="109"/>
      <c r="J10" s="109"/>
      <c r="K10" s="109"/>
      <c r="L10" s="109"/>
      <c r="M10" s="109"/>
      <c r="N10" s="109"/>
      <c r="O10" s="109"/>
      <c r="P10" s="109"/>
      <c r="Q10" s="109"/>
      <c r="R10" s="109"/>
      <c r="S10" s="109"/>
      <c r="T10" s="109"/>
      <c r="U10" s="109"/>
      <c r="V10" s="109"/>
      <c r="W10" s="109"/>
      <c r="X10" s="109"/>
      <c r="Y10" s="109"/>
      <c r="Z10" s="109"/>
    </row>
    <row r="11" spans="1:26" ht="12.75" customHeight="1" x14ac:dyDescent="0.2">
      <c r="A11" s="109"/>
      <c r="B11" s="296"/>
      <c r="C11" s="287" t="s">
        <v>85</v>
      </c>
      <c r="D11" s="116" t="s">
        <v>177</v>
      </c>
      <c r="E11" s="117" t="s">
        <v>178</v>
      </c>
      <c r="F11" s="119" t="s">
        <v>174</v>
      </c>
      <c r="G11" s="109"/>
      <c r="H11" s="109"/>
      <c r="I11" s="109"/>
      <c r="J11" s="109"/>
      <c r="K11" s="109"/>
      <c r="L11" s="109"/>
      <c r="M11" s="109"/>
      <c r="N11" s="109"/>
      <c r="O11" s="109"/>
      <c r="P11" s="109"/>
      <c r="Q11" s="109"/>
      <c r="R11" s="109"/>
      <c r="S11" s="109"/>
      <c r="T11" s="109"/>
      <c r="U11" s="109"/>
      <c r="V11" s="109"/>
      <c r="W11" s="109"/>
      <c r="X11" s="109"/>
      <c r="Y11" s="109"/>
      <c r="Z11" s="109"/>
    </row>
    <row r="12" spans="1:26" ht="12.75" customHeight="1" x14ac:dyDescent="0.2">
      <c r="A12" s="109"/>
      <c r="B12" s="296"/>
      <c r="C12" s="288"/>
      <c r="D12" s="116" t="s">
        <v>179</v>
      </c>
      <c r="E12" s="117" t="s">
        <v>180</v>
      </c>
      <c r="F12" s="119" t="s">
        <v>174</v>
      </c>
      <c r="G12" s="109"/>
      <c r="H12" s="109"/>
      <c r="I12" s="109"/>
      <c r="J12" s="109"/>
      <c r="K12" s="109"/>
      <c r="L12" s="109"/>
      <c r="M12" s="109"/>
      <c r="N12" s="109"/>
      <c r="O12" s="109"/>
      <c r="P12" s="109"/>
      <c r="Q12" s="109"/>
      <c r="R12" s="109"/>
      <c r="S12" s="109"/>
      <c r="T12" s="109"/>
      <c r="U12" s="109"/>
      <c r="V12" s="109"/>
      <c r="W12" s="109"/>
      <c r="X12" s="109"/>
      <c r="Y12" s="109"/>
      <c r="Z12" s="109"/>
    </row>
    <row r="13" spans="1:26" ht="12.75" customHeight="1" x14ac:dyDescent="0.2">
      <c r="A13" s="109"/>
      <c r="B13" s="296"/>
      <c r="C13" s="287" t="s">
        <v>86</v>
      </c>
      <c r="D13" s="116" t="s">
        <v>181</v>
      </c>
      <c r="E13" s="117" t="s">
        <v>182</v>
      </c>
      <c r="F13" s="119" t="s">
        <v>174</v>
      </c>
      <c r="G13" s="109"/>
      <c r="H13" s="109"/>
      <c r="I13" s="109"/>
      <c r="J13" s="109"/>
      <c r="K13" s="109"/>
      <c r="L13" s="109"/>
      <c r="M13" s="109"/>
      <c r="N13" s="109"/>
      <c r="O13" s="109"/>
      <c r="P13" s="109"/>
      <c r="Q13" s="109"/>
      <c r="R13" s="109"/>
      <c r="S13" s="109"/>
      <c r="T13" s="109"/>
      <c r="U13" s="109"/>
      <c r="V13" s="109"/>
      <c r="W13" s="109"/>
      <c r="X13" s="109"/>
      <c r="Y13" s="109"/>
      <c r="Z13" s="109"/>
    </row>
    <row r="14" spans="1:26" ht="12.75" customHeight="1" x14ac:dyDescent="0.2">
      <c r="A14" s="109"/>
      <c r="B14" s="301"/>
      <c r="C14" s="289"/>
      <c r="D14" s="120" t="s">
        <v>183</v>
      </c>
      <c r="E14" s="121" t="s">
        <v>184</v>
      </c>
      <c r="F14" s="122" t="s">
        <v>174</v>
      </c>
      <c r="G14" s="109"/>
      <c r="H14" s="109"/>
      <c r="I14" s="109"/>
      <c r="J14" s="109"/>
      <c r="K14" s="109"/>
      <c r="L14" s="109"/>
      <c r="M14" s="109"/>
      <c r="N14" s="109"/>
      <c r="O14" s="109"/>
      <c r="P14" s="109"/>
      <c r="Q14" s="109"/>
      <c r="R14" s="109"/>
      <c r="S14" s="109"/>
      <c r="T14" s="109"/>
      <c r="U14" s="109"/>
      <c r="V14" s="109"/>
      <c r="W14" s="109"/>
      <c r="X14" s="109"/>
      <c r="Y14" s="109"/>
      <c r="Z14" s="109"/>
    </row>
    <row r="15" spans="1:26" ht="49.5" customHeight="1" x14ac:dyDescent="0.2">
      <c r="A15" s="109"/>
      <c r="B15" s="285" t="s">
        <v>185</v>
      </c>
      <c r="C15" s="181"/>
      <c r="D15" s="181"/>
      <c r="E15" s="181"/>
      <c r="F15" s="286"/>
      <c r="G15" s="109"/>
      <c r="H15" s="109"/>
      <c r="I15" s="109"/>
      <c r="J15" s="109"/>
      <c r="K15" s="109"/>
      <c r="L15" s="109"/>
      <c r="M15" s="109"/>
      <c r="N15" s="109"/>
      <c r="O15" s="109"/>
      <c r="P15" s="109"/>
      <c r="Q15" s="109"/>
      <c r="R15" s="109"/>
      <c r="S15" s="109"/>
      <c r="T15" s="109"/>
      <c r="U15" s="109"/>
      <c r="V15" s="109"/>
      <c r="W15" s="109"/>
      <c r="X15" s="109"/>
      <c r="Y15" s="109"/>
      <c r="Z15" s="109"/>
    </row>
    <row r="16" spans="1:26" ht="27" customHeight="1" x14ac:dyDescent="0.2">
      <c r="A16" s="109"/>
      <c r="B16" s="123"/>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1:26" ht="12.7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12.7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1:26" ht="12.7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1:26" ht="12.7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1:26" ht="12.75" customHeight="1" x14ac:dyDescent="0.2">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row>
    <row r="22" spans="1:26" ht="12.75" customHeight="1" x14ac:dyDescent="0.2">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row>
    <row r="23" spans="1:26" ht="12.75" customHeight="1" x14ac:dyDescent="0.2">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spans="1:26" ht="12.75" customHeight="1" x14ac:dyDescent="0.2">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spans="1:26" ht="12.75" customHeight="1" x14ac:dyDescent="0.2">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1:26" ht="12.75" customHeight="1" x14ac:dyDescent="0.2">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ht="12.75" customHeight="1" x14ac:dyDescent="0.2">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ht="12.75" customHeight="1" x14ac:dyDescent="0.2">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ht="12.75" customHeight="1" x14ac:dyDescent="0.2">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2.75" customHeight="1" x14ac:dyDescent="0.2">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ht="12.75" customHeight="1" x14ac:dyDescent="0.2">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12.75" customHeight="1" x14ac:dyDescent="0.2">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12.75" customHeight="1" x14ac:dyDescent="0.2">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12.75"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12.75" customHeight="1" x14ac:dyDescent="0.2">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12.7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12.75" customHeight="1"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12.75" customHeight="1"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12.75" customHeight="1"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12.75"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12.75" customHeight="1"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2.75" customHeight="1"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12.75" customHeight="1"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12.75" customHeight="1"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12.75" customHeight="1"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12.75" customHeight="1"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2.75" customHeight="1"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2.75" customHeight="1"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12.75"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2.75" customHeight="1" x14ac:dyDescent="0.2">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2.75" customHeight="1"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12.75" customHeight="1" x14ac:dyDescent="0.2">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12.75" customHeight="1" x14ac:dyDescent="0.2">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12.75" customHeight="1" x14ac:dyDescent="0.2">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12.75" customHeight="1" x14ac:dyDescent="0.2">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12.75" customHeight="1"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12.75" customHeight="1" x14ac:dyDescent="0.2">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12.75" customHeight="1" x14ac:dyDescent="0.2">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12.75" customHeight="1" x14ac:dyDescent="0.2">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2.75"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12.75" customHeight="1" x14ac:dyDescent="0.2">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12.75" customHeight="1" x14ac:dyDescent="0.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12.75"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12.75" customHeight="1" x14ac:dyDescent="0.2">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12.75" customHeight="1" x14ac:dyDescent="0.2">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12.75" customHeight="1" x14ac:dyDescent="0.2">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12.75" customHeight="1" x14ac:dyDescent="0.2">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12.75" customHeight="1" x14ac:dyDescent="0.2">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12.75" customHeight="1" x14ac:dyDescent="0.2">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12.75" customHeight="1" x14ac:dyDescent="0.2">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2.75" customHeight="1" x14ac:dyDescent="0.2">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12.75" customHeight="1" x14ac:dyDescent="0.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12.75" customHeight="1" x14ac:dyDescent="0.2">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12.75" customHeight="1" x14ac:dyDescent="0.2">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12.75" customHeight="1" x14ac:dyDescent="0.2">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12.75" customHeight="1" x14ac:dyDescent="0.2">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12.75" customHeight="1" x14ac:dyDescent="0.2">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12.75" customHeight="1" x14ac:dyDescent="0.2">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12.75"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12.75" customHeight="1" x14ac:dyDescent="0.2">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12.75"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12.75" customHeight="1" x14ac:dyDescent="0.2">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12.75" customHeight="1" x14ac:dyDescent="0.2">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12.75" customHeight="1" x14ac:dyDescent="0.2">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12.75" customHeight="1" x14ac:dyDescent="0.2">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12.75" customHeight="1" x14ac:dyDescent="0.2">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12.75" customHeight="1" x14ac:dyDescent="0.2">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12.75" customHeight="1" x14ac:dyDescent="0.2">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12.75" customHeight="1" x14ac:dyDescent="0.2">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12.75" customHeight="1" x14ac:dyDescent="0.2">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12.75" customHeight="1" x14ac:dyDescent="0.2">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12.75" customHeight="1" x14ac:dyDescent="0.2">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12.75" customHeight="1" x14ac:dyDescent="0.2">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12.75" customHeight="1" x14ac:dyDescent="0.2">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12.75" customHeight="1" x14ac:dyDescent="0.2">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12.75" customHeight="1" x14ac:dyDescent="0.2">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2.75" customHeight="1" x14ac:dyDescent="0.2">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12.75" customHeight="1" x14ac:dyDescent="0.2">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12.75" customHeight="1" x14ac:dyDescent="0.2">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12.75" customHeight="1" x14ac:dyDescent="0.2">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2.75" customHeight="1" x14ac:dyDescent="0.2">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2.75" customHeight="1" x14ac:dyDescent="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2.75" customHeight="1" x14ac:dyDescent="0.2">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2.75" customHeight="1" x14ac:dyDescent="0.2">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2.75" customHeight="1" x14ac:dyDescent="0.2">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2.75" customHeight="1" x14ac:dyDescent="0.2">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2.75" customHeight="1" x14ac:dyDescent="0.2">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2.75" customHeight="1" x14ac:dyDescent="0.2">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2.75" customHeight="1" x14ac:dyDescent="0.2">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2.75" customHeight="1" x14ac:dyDescent="0.2">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2.75" customHeight="1" x14ac:dyDescent="0.2">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2.75" customHeight="1" x14ac:dyDescent="0.2">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2.75" customHeight="1" x14ac:dyDescent="0.2">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2.75" customHeight="1" x14ac:dyDescent="0.2">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2.75" customHeight="1" x14ac:dyDescent="0.2">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2.75" customHeight="1" x14ac:dyDescent="0.2">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2.75" customHeight="1" x14ac:dyDescent="0.2">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2.75" customHeight="1" x14ac:dyDescent="0.2">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2.75" customHeight="1" x14ac:dyDescent="0.2">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2.75" customHeight="1" x14ac:dyDescent="0.2">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2.75" customHeight="1" x14ac:dyDescent="0.2">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2.75"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2.75"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2.75" customHeight="1" x14ac:dyDescent="0.2">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2.75" customHeight="1" x14ac:dyDescent="0.2">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2.75" customHeight="1" x14ac:dyDescent="0.2">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2.75" customHeight="1" x14ac:dyDescent="0.2">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2.75" customHeight="1" x14ac:dyDescent="0.2">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2.75" customHeight="1" x14ac:dyDescent="0.2">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2.75"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2.75"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2.75"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2.75"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2.75" customHeight="1" x14ac:dyDescent="0.2">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2.75" customHeight="1" x14ac:dyDescent="0.2">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2.75" customHeight="1" x14ac:dyDescent="0.2">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2.75" customHeight="1" x14ac:dyDescent="0.2">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2.75" customHeight="1" x14ac:dyDescent="0.2">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2.75" customHeight="1" x14ac:dyDescent="0.2">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2.75" customHeight="1" x14ac:dyDescent="0.2">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2.75" customHeight="1" x14ac:dyDescent="0.2">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2.75" customHeight="1" x14ac:dyDescent="0.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2.75" customHeight="1" x14ac:dyDescent="0.2">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2.75" customHeight="1" x14ac:dyDescent="0.2">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2.75" customHeight="1" x14ac:dyDescent="0.2">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2.75" customHeight="1" x14ac:dyDescent="0.2">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2.75" customHeight="1" x14ac:dyDescent="0.2">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2.75" customHeight="1" x14ac:dyDescent="0.2">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2.75" customHeight="1" x14ac:dyDescent="0.2">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2.75" customHeight="1" x14ac:dyDescent="0.2">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2.75" customHeight="1" x14ac:dyDescent="0.2">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2.75" customHeight="1" x14ac:dyDescent="0.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2.75" customHeight="1" x14ac:dyDescent="0.2">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2.75" customHeight="1" x14ac:dyDescent="0.2">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2.75" customHeight="1" x14ac:dyDescent="0.2">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2.75" customHeight="1" x14ac:dyDescent="0.2">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2.75" customHeight="1" x14ac:dyDescent="0.2">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2.75" customHeight="1" x14ac:dyDescent="0.2">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2.75" customHeight="1" x14ac:dyDescent="0.2">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2.75" customHeight="1" x14ac:dyDescent="0.2">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2.75" customHeight="1" x14ac:dyDescent="0.2">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2.75" customHeight="1" x14ac:dyDescent="0.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2.75" customHeight="1" x14ac:dyDescent="0.2">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2.75" customHeight="1" x14ac:dyDescent="0.2">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2.75" customHeight="1" x14ac:dyDescent="0.2">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2.75" customHeight="1" x14ac:dyDescent="0.2">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2.75" customHeight="1" x14ac:dyDescent="0.2">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2.75" customHeight="1" x14ac:dyDescent="0.2">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2.75" customHeight="1" x14ac:dyDescent="0.2">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2.75" customHeight="1" x14ac:dyDescent="0.2">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2.75" customHeight="1" x14ac:dyDescent="0.2">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2.75" customHeight="1" x14ac:dyDescent="0.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2.75" customHeight="1" x14ac:dyDescent="0.2">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2.75" customHeight="1" x14ac:dyDescent="0.2">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2.75" customHeight="1" x14ac:dyDescent="0.2">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2.75" customHeight="1" x14ac:dyDescent="0.2">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2.75" customHeight="1" x14ac:dyDescent="0.2">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2.75" customHeight="1" x14ac:dyDescent="0.2">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2.75" customHeight="1" x14ac:dyDescent="0.2">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2.75" customHeight="1" x14ac:dyDescent="0.2">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2.75" customHeight="1" x14ac:dyDescent="0.2">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2.75" customHeight="1" x14ac:dyDescent="0.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2.75" customHeight="1" x14ac:dyDescent="0.2">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2.75" customHeight="1" x14ac:dyDescent="0.2">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2.75" customHeight="1" x14ac:dyDescent="0.2">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2.75" customHeight="1" x14ac:dyDescent="0.2">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2.75" customHeight="1" x14ac:dyDescent="0.2">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2.75" customHeight="1" x14ac:dyDescent="0.2">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2.75" customHeight="1" x14ac:dyDescent="0.2">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2.75" customHeight="1" x14ac:dyDescent="0.2">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2.75" customHeight="1" x14ac:dyDescent="0.2">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2.75" customHeight="1"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2.75" customHeight="1"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2.75" customHeight="1" x14ac:dyDescent="0.2">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2.75" customHeight="1" x14ac:dyDescent="0.2">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2.75" customHeight="1" x14ac:dyDescent="0.2">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2.75" customHeight="1" x14ac:dyDescent="0.2">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2.75" customHeight="1" x14ac:dyDescent="0.2">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2.75" customHeight="1" x14ac:dyDescent="0.2">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2.75" customHeight="1" x14ac:dyDescent="0.2">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2.75" customHeight="1" x14ac:dyDescent="0.2">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2.75" customHeight="1" x14ac:dyDescent="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2.75" customHeight="1" x14ac:dyDescent="0.2">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2.75" customHeight="1" x14ac:dyDescent="0.2">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2.75" customHeight="1" x14ac:dyDescent="0.2">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2.75" customHeight="1" x14ac:dyDescent="0.2">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2.75" customHeight="1" x14ac:dyDescent="0.2">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2.75" customHeight="1" x14ac:dyDescent="0.2">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2.75" customHeight="1" x14ac:dyDescent="0.2">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2.75"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2.75" customHeight="1" x14ac:dyDescent="0.2">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2.75" customHeight="1" x14ac:dyDescent="0.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2.75" customHeight="1" x14ac:dyDescent="0.2">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2.75" customHeight="1" x14ac:dyDescent="0.2">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2.75" customHeight="1" x14ac:dyDescent="0.2">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2.75" customHeight="1" x14ac:dyDescent="0.2">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2.75" customHeight="1" x14ac:dyDescent="0.2">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2.75" customHeight="1" x14ac:dyDescent="0.2">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2.75"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2.75" customHeight="1" x14ac:dyDescent="0.2">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2.75" customHeight="1" x14ac:dyDescent="0.2">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2.75" customHeight="1" x14ac:dyDescent="0.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2.75" customHeight="1" x14ac:dyDescent="0.2">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2.75" customHeight="1" x14ac:dyDescent="0.2">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2.75" customHeight="1" x14ac:dyDescent="0.2">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2.75" customHeight="1" x14ac:dyDescent="0.2">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2.75" customHeight="1" x14ac:dyDescent="0.2">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2.75" customHeight="1" x14ac:dyDescent="0.2">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2.75" customHeight="1" x14ac:dyDescent="0.2">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2.75" customHeight="1" x14ac:dyDescent="0.2">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2.75" customHeight="1" x14ac:dyDescent="0.2">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2.75" customHeight="1" x14ac:dyDescent="0.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2.75" customHeight="1" x14ac:dyDescent="0.2">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2.75" customHeight="1" x14ac:dyDescent="0.2">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2.75" customHeight="1" x14ac:dyDescent="0.2">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2.75"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2.75" customHeight="1" x14ac:dyDescent="0.2">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2.75" customHeight="1" x14ac:dyDescent="0.2">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2.75" customHeight="1" x14ac:dyDescent="0.2">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2.75" customHeight="1" x14ac:dyDescent="0.2">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2.75" customHeight="1" x14ac:dyDescent="0.2">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2.75" customHeight="1" x14ac:dyDescent="0.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2.75" customHeight="1" x14ac:dyDescent="0.2">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2.75" customHeight="1" x14ac:dyDescent="0.2">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2.75" customHeight="1" x14ac:dyDescent="0.2">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2.75" customHeight="1" x14ac:dyDescent="0.2">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2.75" customHeight="1" x14ac:dyDescent="0.2">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2.75" customHeight="1" x14ac:dyDescent="0.2">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2.75" customHeight="1" x14ac:dyDescent="0.2">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2.75" customHeight="1" x14ac:dyDescent="0.2">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2.75" customHeight="1" x14ac:dyDescent="0.2">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2.75" customHeight="1" x14ac:dyDescent="0.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2.75" customHeight="1" x14ac:dyDescent="0.2">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2.75" customHeigh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2.75" customHeigh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2.75" customHeigh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2.75" customHeigh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2.75" customHeigh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2.75" customHeigh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2.75" customHeigh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2.75" customHeigh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2.75" customHeigh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2.75" customHeigh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2.75" customHeigh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2.75" customHeigh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2.75" customHeigh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2.75" customHeigh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2.75" customHeigh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2.75" customHeigh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2.75" customHeigh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2.75" customHeigh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2.75" customHeigh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2.75" customHeigh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2.75" customHeigh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2.75" customHeigh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2.75" customHeigh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2.75" customHeigh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2.75" customHeigh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2.75" customHeigh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2.75" customHeigh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2.75" customHeigh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2.75" customHeigh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2.75" customHeigh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2.75" customHeigh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2.75" customHeigh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2.75" customHeigh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2.75" customHeigh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2.75" customHeigh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2.75" customHeigh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2.75" customHeigh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2.75" customHeigh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2.75" customHeigh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2.75" customHeigh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2.75" customHeigh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2.75" customHeigh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2.75" customHeigh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2.75" customHeigh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2.75" customHeigh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2.75" customHeigh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2.75" customHeigh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2.75" customHeigh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2.75" customHeigh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2.75" customHeigh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2.75" customHeigh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2.75" customHeigh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2.75" customHeigh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2.75" customHeigh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2.75" customHeigh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2.75" customHeigh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2.75" customHeigh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2.75" customHeigh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2.75" customHeigh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2.75" customHeigh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2.75" customHeigh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2.75" customHeight="1" x14ac:dyDescent="0.2">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2.75" customHeight="1" x14ac:dyDescent="0.2">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2.75" customHeight="1" x14ac:dyDescent="0.2">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2.75" customHeight="1" x14ac:dyDescent="0.2">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2.75" customHeight="1" x14ac:dyDescent="0.2">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2.75" customHeight="1" x14ac:dyDescent="0.2">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2.75" customHeight="1" x14ac:dyDescent="0.2">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2.75" customHeight="1" x14ac:dyDescent="0.2">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2.75" customHeight="1" x14ac:dyDescent="0.2">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2.75" customHeight="1" x14ac:dyDescent="0.2">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2.75" customHeight="1" x14ac:dyDescent="0.2">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2.75" customHeight="1" x14ac:dyDescent="0.2">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2.75" customHeight="1" x14ac:dyDescent="0.2">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2.75" customHeight="1" x14ac:dyDescent="0.2">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2.75" customHeight="1" x14ac:dyDescent="0.2">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2.75" customHeight="1" x14ac:dyDescent="0.2">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2.75" customHeight="1" x14ac:dyDescent="0.2">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2.75" customHeight="1" x14ac:dyDescent="0.2">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2.75" customHeight="1" x14ac:dyDescent="0.2">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2.75" customHeight="1" x14ac:dyDescent="0.2">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2.75" customHeight="1" x14ac:dyDescent="0.2">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2.75" customHeight="1" x14ac:dyDescent="0.2">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2.75" customHeight="1" x14ac:dyDescent="0.2">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2.75" customHeight="1" x14ac:dyDescent="0.2">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2.75" customHeight="1" x14ac:dyDescent="0.2">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2.75" customHeight="1" x14ac:dyDescent="0.2">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2.75" customHeight="1" x14ac:dyDescent="0.2">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2.75" customHeight="1" x14ac:dyDescent="0.2">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2.75" customHeight="1" x14ac:dyDescent="0.2">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2.75" customHeight="1" x14ac:dyDescent="0.2">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2.75" customHeight="1" x14ac:dyDescent="0.2">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2.75" customHeight="1" x14ac:dyDescent="0.2">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2.75" customHeight="1" x14ac:dyDescent="0.2">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2.75" customHeight="1" x14ac:dyDescent="0.2">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2.75" customHeight="1" x14ac:dyDescent="0.2">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2.75" customHeight="1" x14ac:dyDescent="0.2">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2.75" customHeight="1" x14ac:dyDescent="0.2">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2.75" customHeight="1" x14ac:dyDescent="0.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2.75" customHeight="1" x14ac:dyDescent="0.2">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2.75" customHeight="1" x14ac:dyDescent="0.2">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2.75" customHeight="1" x14ac:dyDescent="0.2">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2.75" customHeight="1" x14ac:dyDescent="0.2">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2.75" customHeight="1" x14ac:dyDescent="0.2">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2.75" customHeight="1" x14ac:dyDescent="0.2">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2.75" customHeight="1" x14ac:dyDescent="0.2">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2.75" customHeight="1" x14ac:dyDescent="0.2">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2.75" customHeight="1" x14ac:dyDescent="0.2">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2.75" customHeight="1" x14ac:dyDescent="0.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2.75" customHeight="1" x14ac:dyDescent="0.2">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2.75" customHeight="1" x14ac:dyDescent="0.2">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2.75" customHeight="1" x14ac:dyDescent="0.2">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2.75" customHeight="1" x14ac:dyDescent="0.2">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2.75" customHeight="1" x14ac:dyDescent="0.2">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2.75" customHeight="1" x14ac:dyDescent="0.2">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2.75" customHeight="1" x14ac:dyDescent="0.2">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2.75" customHeight="1" x14ac:dyDescent="0.2">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2.75" customHeight="1" x14ac:dyDescent="0.2">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2.75" customHeight="1" x14ac:dyDescent="0.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2.75" customHeight="1" x14ac:dyDescent="0.2">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2.75" customHeight="1" x14ac:dyDescent="0.2">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2.75" customHeight="1" x14ac:dyDescent="0.2">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2.75" customHeight="1" x14ac:dyDescent="0.2">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2.75" customHeight="1" x14ac:dyDescent="0.2">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2.75" customHeight="1" x14ac:dyDescent="0.2">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2.75" customHeight="1" x14ac:dyDescent="0.2">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2.75" customHeight="1" x14ac:dyDescent="0.2">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2.75" customHeight="1" x14ac:dyDescent="0.2">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2.75" customHeight="1" x14ac:dyDescent="0.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2.75" customHeight="1" x14ac:dyDescent="0.2">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2.75" customHeight="1" x14ac:dyDescent="0.2">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2.75" customHeight="1" x14ac:dyDescent="0.2">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2.75" customHeight="1" x14ac:dyDescent="0.2">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2.75" customHeight="1" x14ac:dyDescent="0.2">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2.75" customHeight="1" x14ac:dyDescent="0.2">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2.75" customHeight="1" x14ac:dyDescent="0.2">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2.75" customHeight="1" x14ac:dyDescent="0.2">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2.75" customHeight="1" x14ac:dyDescent="0.2">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2.75" customHeight="1" x14ac:dyDescent="0.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2.75" customHeight="1" x14ac:dyDescent="0.2">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2.75" customHeight="1" x14ac:dyDescent="0.2">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2.75" customHeight="1" x14ac:dyDescent="0.2">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2.75" customHeight="1" x14ac:dyDescent="0.2">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2.75" customHeight="1" x14ac:dyDescent="0.2">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2.75" customHeight="1" x14ac:dyDescent="0.2">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2.75" customHeight="1" x14ac:dyDescent="0.2">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2.75" customHeight="1" x14ac:dyDescent="0.2">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2.75" customHeight="1" x14ac:dyDescent="0.2">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2.75" customHeight="1" x14ac:dyDescent="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2.75" customHeight="1" x14ac:dyDescent="0.2">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2.75" customHeight="1" x14ac:dyDescent="0.2">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2.75" customHeight="1" x14ac:dyDescent="0.2">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2.75" customHeight="1" x14ac:dyDescent="0.2">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2.75" customHeight="1" x14ac:dyDescent="0.2">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2.75" customHeight="1" x14ac:dyDescent="0.2">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2.75" customHeight="1" x14ac:dyDescent="0.2">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2.75" customHeight="1" x14ac:dyDescent="0.2">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2.75"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2.75" customHeight="1" x14ac:dyDescent="0.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2.75" customHeight="1" x14ac:dyDescent="0.2">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2.75" customHeight="1" x14ac:dyDescent="0.2">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2.75" customHeight="1" x14ac:dyDescent="0.2">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2.75" customHeight="1" x14ac:dyDescent="0.2">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2.75" customHeight="1" x14ac:dyDescent="0.2">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2.75" customHeight="1" x14ac:dyDescent="0.2">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2.75" customHeight="1" x14ac:dyDescent="0.2">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2.75" customHeight="1"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2.75" customHeight="1" x14ac:dyDescent="0.2">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2.75" customHeight="1" x14ac:dyDescent="0.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2.75" customHeight="1" x14ac:dyDescent="0.2">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2.75" customHeight="1" x14ac:dyDescent="0.2">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2.75" customHeight="1" x14ac:dyDescent="0.2">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2.75" customHeight="1" x14ac:dyDescent="0.2">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2.75" customHeight="1" x14ac:dyDescent="0.2">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2.75" customHeight="1" x14ac:dyDescent="0.2">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2.75" customHeight="1" x14ac:dyDescent="0.2">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2.75" customHeight="1" x14ac:dyDescent="0.2">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2.75" customHeight="1" x14ac:dyDescent="0.2">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2.75" customHeight="1" x14ac:dyDescent="0.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2.75" customHeight="1" x14ac:dyDescent="0.2">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2.75" customHeight="1" x14ac:dyDescent="0.2">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2.75" customHeight="1" x14ac:dyDescent="0.2">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2.75" customHeight="1" x14ac:dyDescent="0.2">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2.75" customHeight="1" x14ac:dyDescent="0.2">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2.75" customHeight="1" x14ac:dyDescent="0.2">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2.75" customHeight="1" x14ac:dyDescent="0.2">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2.75" customHeight="1" x14ac:dyDescent="0.2">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2.75" customHeight="1" x14ac:dyDescent="0.2">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2.75" customHeight="1" x14ac:dyDescent="0.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2.75" customHeight="1" x14ac:dyDescent="0.2">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2.75" customHeight="1" x14ac:dyDescent="0.2">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2.75" customHeight="1" x14ac:dyDescent="0.2">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2.75" customHeight="1" x14ac:dyDescent="0.2">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2.75" customHeight="1" x14ac:dyDescent="0.2">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2.75" customHeight="1" x14ac:dyDescent="0.2">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2.75" customHeight="1" x14ac:dyDescent="0.2">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2.75" customHeight="1" x14ac:dyDescent="0.2">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2.75" customHeight="1" x14ac:dyDescent="0.2">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2.75" customHeight="1" x14ac:dyDescent="0.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2.75" customHeight="1" x14ac:dyDescent="0.2">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2.75" customHeight="1" x14ac:dyDescent="0.2">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2.75" customHeight="1" x14ac:dyDescent="0.2">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2.75" customHeight="1" x14ac:dyDescent="0.2">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2.75" customHeight="1" x14ac:dyDescent="0.2">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2.75" customHeight="1" x14ac:dyDescent="0.2">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2.75" customHeight="1" x14ac:dyDescent="0.2">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2.75" customHeight="1" x14ac:dyDescent="0.2">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2.75" customHeight="1" x14ac:dyDescent="0.2">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2.75" customHeight="1" x14ac:dyDescent="0.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2.75" customHeight="1" x14ac:dyDescent="0.2">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2.75" customHeight="1" x14ac:dyDescent="0.2">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2.75" customHeight="1" x14ac:dyDescent="0.2">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2.75" customHeight="1" x14ac:dyDescent="0.2">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2.75" customHeight="1" x14ac:dyDescent="0.2">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2.75" customHeight="1" x14ac:dyDescent="0.2">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2.75" customHeight="1" x14ac:dyDescent="0.2">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2.75" customHeight="1" x14ac:dyDescent="0.2">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2.75" customHeight="1" x14ac:dyDescent="0.2">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2.75" customHeight="1" x14ac:dyDescent="0.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2.75" customHeight="1" x14ac:dyDescent="0.2">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2.75" customHeight="1" x14ac:dyDescent="0.2">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2.75" customHeight="1" x14ac:dyDescent="0.2">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2.75" customHeight="1" x14ac:dyDescent="0.2">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2.75" customHeight="1" x14ac:dyDescent="0.2">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2.75" customHeight="1" x14ac:dyDescent="0.2">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2.75" customHeight="1" x14ac:dyDescent="0.2">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2.75" customHeight="1" x14ac:dyDescent="0.2">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2.75" customHeight="1" x14ac:dyDescent="0.2">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2.75" customHeight="1" x14ac:dyDescent="0.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2.75" customHeight="1" x14ac:dyDescent="0.2">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2.75" customHeight="1" x14ac:dyDescent="0.2">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2.75" customHeight="1" x14ac:dyDescent="0.2">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2.75" customHeight="1" x14ac:dyDescent="0.2">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2.75" customHeight="1" x14ac:dyDescent="0.2">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2.75" customHeight="1" x14ac:dyDescent="0.2">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2.75" customHeight="1" x14ac:dyDescent="0.2">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2.75" customHeight="1" x14ac:dyDescent="0.2">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2.75" customHeight="1" x14ac:dyDescent="0.2">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2.75" customHeight="1" x14ac:dyDescent="0.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2.75"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2.75" customHeight="1" x14ac:dyDescent="0.2">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2.75" customHeight="1" x14ac:dyDescent="0.2">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2.75" customHeight="1" x14ac:dyDescent="0.2">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2.75" customHeight="1" x14ac:dyDescent="0.2">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2.75" customHeight="1" x14ac:dyDescent="0.2">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2.75" customHeight="1" x14ac:dyDescent="0.2">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2.75" customHeight="1" x14ac:dyDescent="0.2">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2.75" customHeight="1" x14ac:dyDescent="0.2">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2.75" customHeight="1" x14ac:dyDescent="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2.75" customHeight="1" x14ac:dyDescent="0.2">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2.75" customHeight="1" x14ac:dyDescent="0.2">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2.75" customHeight="1" x14ac:dyDescent="0.2">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2.75" customHeight="1" x14ac:dyDescent="0.2">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2.75" customHeight="1" x14ac:dyDescent="0.2">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2.75" customHeight="1" x14ac:dyDescent="0.2">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2.75" customHeight="1"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2.75" customHeight="1" x14ac:dyDescent="0.2">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2.75" customHeight="1" x14ac:dyDescent="0.2">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2.75" customHeight="1" x14ac:dyDescent="0.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2.75" customHeight="1" x14ac:dyDescent="0.2">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2.75" customHeight="1" x14ac:dyDescent="0.2">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2.75" customHeight="1" x14ac:dyDescent="0.2">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2.75" customHeight="1" x14ac:dyDescent="0.2">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2.75" customHeight="1" x14ac:dyDescent="0.2">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2.75" customHeight="1" x14ac:dyDescent="0.2">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2.75" customHeight="1" x14ac:dyDescent="0.2">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2.75" customHeight="1" x14ac:dyDescent="0.2">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2.75" customHeight="1" x14ac:dyDescent="0.2">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2.75" customHeight="1" x14ac:dyDescent="0.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2.75" customHeight="1" x14ac:dyDescent="0.2">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2.75" customHeight="1" x14ac:dyDescent="0.2">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2.75" customHeight="1" x14ac:dyDescent="0.2">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2.75" customHeight="1" x14ac:dyDescent="0.2">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2.75" customHeight="1" x14ac:dyDescent="0.2">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2.75" customHeight="1" x14ac:dyDescent="0.2">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2.75" customHeight="1"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2.75" customHeight="1" x14ac:dyDescent="0.2">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2.75" customHeight="1" x14ac:dyDescent="0.2">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2.75" customHeight="1" x14ac:dyDescent="0.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2.75" customHeight="1" x14ac:dyDescent="0.2">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2.75" customHeight="1"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2.75" customHeight="1" x14ac:dyDescent="0.2">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2.75" customHeight="1" x14ac:dyDescent="0.2">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2.75" customHeight="1" x14ac:dyDescent="0.2">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2.75" customHeight="1" x14ac:dyDescent="0.2">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2.75" customHeight="1" x14ac:dyDescent="0.2">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2.75" customHeight="1" x14ac:dyDescent="0.2">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2.75" customHeight="1" x14ac:dyDescent="0.2">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2.75" customHeight="1" x14ac:dyDescent="0.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2.75" customHeight="1" x14ac:dyDescent="0.2">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2.75" customHeight="1" x14ac:dyDescent="0.2">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2.75" customHeight="1" x14ac:dyDescent="0.2">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2.75" customHeight="1" x14ac:dyDescent="0.2">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2.75" customHeight="1" x14ac:dyDescent="0.2">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2.75" customHeight="1" x14ac:dyDescent="0.2">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2.75" customHeight="1" x14ac:dyDescent="0.2">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2.75" customHeight="1" x14ac:dyDescent="0.2">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2.75" customHeight="1" x14ac:dyDescent="0.2">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2.75" customHeight="1" x14ac:dyDescent="0.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2.75" customHeight="1" x14ac:dyDescent="0.2">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2.75" customHeight="1" x14ac:dyDescent="0.2">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2.75" customHeight="1" x14ac:dyDescent="0.2">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2.75" customHeight="1" x14ac:dyDescent="0.2">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2.75" customHeight="1" x14ac:dyDescent="0.2">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2.75" customHeight="1" x14ac:dyDescent="0.2">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2.75" customHeight="1" x14ac:dyDescent="0.2">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2.75" customHeight="1"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2.75" customHeight="1" x14ac:dyDescent="0.2">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2.75" customHeight="1" x14ac:dyDescent="0.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2.75" customHeight="1" x14ac:dyDescent="0.2">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2.75" customHeight="1" x14ac:dyDescent="0.2">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2.75" customHeight="1" x14ac:dyDescent="0.2">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2.75" customHeight="1" x14ac:dyDescent="0.2">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2.75" customHeight="1" x14ac:dyDescent="0.2">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2.75" customHeight="1" x14ac:dyDescent="0.2">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2.75" customHeight="1" x14ac:dyDescent="0.2">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2.75" customHeight="1" x14ac:dyDescent="0.2">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2.75" customHeight="1" x14ac:dyDescent="0.2">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2.75" customHeight="1" x14ac:dyDescent="0.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2.75" customHeight="1" x14ac:dyDescent="0.2">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2.75" customHeight="1" x14ac:dyDescent="0.2">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2.75" customHeight="1" x14ac:dyDescent="0.2">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2.75" customHeight="1" x14ac:dyDescent="0.2">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2.75" customHeight="1" x14ac:dyDescent="0.2">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2.75" customHeight="1" x14ac:dyDescent="0.2">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2.75" customHeight="1" x14ac:dyDescent="0.2">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2.75" customHeight="1" x14ac:dyDescent="0.2">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2.75" customHeight="1" x14ac:dyDescent="0.2">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2.75" customHeight="1" x14ac:dyDescent="0.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2.75" customHeight="1" x14ac:dyDescent="0.2">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2.75" customHeight="1" x14ac:dyDescent="0.2">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2.75" customHeight="1"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2.75" customHeight="1" x14ac:dyDescent="0.2">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2.75" customHeight="1" x14ac:dyDescent="0.2">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2.75" customHeight="1" x14ac:dyDescent="0.2">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2.75" customHeight="1" x14ac:dyDescent="0.2">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2.75" customHeight="1" x14ac:dyDescent="0.2">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2.75" customHeight="1" x14ac:dyDescent="0.2">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2.75" customHeight="1" x14ac:dyDescent="0.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2.75" customHeight="1" x14ac:dyDescent="0.2">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2.75" customHeight="1" x14ac:dyDescent="0.2">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2.75" customHeight="1" x14ac:dyDescent="0.2">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2.75" customHeight="1" x14ac:dyDescent="0.2">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2.75" customHeight="1" x14ac:dyDescent="0.2">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2.75" customHeight="1" x14ac:dyDescent="0.2">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2.75" customHeight="1" x14ac:dyDescent="0.2">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2.75" customHeight="1" x14ac:dyDescent="0.2">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2.75" customHeight="1" x14ac:dyDescent="0.2">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2.75" customHeight="1" x14ac:dyDescent="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2.75" customHeight="1" x14ac:dyDescent="0.2">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2.75" customHeight="1" x14ac:dyDescent="0.2">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2.75" customHeight="1" x14ac:dyDescent="0.2">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2.75" customHeight="1" x14ac:dyDescent="0.2">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2.75" customHeight="1" x14ac:dyDescent="0.2">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2.75" customHeight="1" x14ac:dyDescent="0.2">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2.75" customHeight="1" x14ac:dyDescent="0.2">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2.75" customHeight="1" x14ac:dyDescent="0.2">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2.75" customHeight="1" x14ac:dyDescent="0.2">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2.75" customHeight="1" x14ac:dyDescent="0.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2.75" customHeight="1" x14ac:dyDescent="0.2">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2.75" customHeight="1" x14ac:dyDescent="0.2">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2.75" customHeight="1" x14ac:dyDescent="0.2">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2.75" customHeight="1" x14ac:dyDescent="0.2">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2.75" customHeight="1" x14ac:dyDescent="0.2">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2.75" customHeight="1" x14ac:dyDescent="0.2">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2.75" customHeight="1" x14ac:dyDescent="0.2">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2.75" customHeight="1" x14ac:dyDescent="0.2">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2.75" customHeight="1" x14ac:dyDescent="0.2">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2.75" customHeight="1" x14ac:dyDescent="0.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2.75" customHeight="1" x14ac:dyDescent="0.2">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2.75" customHeight="1" x14ac:dyDescent="0.2">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2.75" customHeight="1" x14ac:dyDescent="0.2">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2.75" customHeight="1" x14ac:dyDescent="0.2">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2.75" customHeight="1" x14ac:dyDescent="0.2">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2.75" customHeight="1" x14ac:dyDescent="0.2">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2.75" customHeight="1" x14ac:dyDescent="0.2">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2.75" customHeight="1" x14ac:dyDescent="0.2">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2.75" customHeight="1" x14ac:dyDescent="0.2">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2.75" customHeight="1" x14ac:dyDescent="0.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2.75" customHeight="1" x14ac:dyDescent="0.2">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2.75" customHeight="1" x14ac:dyDescent="0.2">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2.75" customHeight="1" x14ac:dyDescent="0.2">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2.75" customHeight="1" x14ac:dyDescent="0.2">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2.75" customHeight="1" x14ac:dyDescent="0.2">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2.75" customHeight="1" x14ac:dyDescent="0.2">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2.75" customHeight="1" x14ac:dyDescent="0.2">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2.75" customHeight="1" x14ac:dyDescent="0.2">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2.75" customHeight="1" x14ac:dyDescent="0.2">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2.75" customHeight="1" x14ac:dyDescent="0.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2.75" customHeight="1" x14ac:dyDescent="0.2">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2.75" customHeight="1" x14ac:dyDescent="0.2">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2.75" customHeight="1" x14ac:dyDescent="0.2">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2.75" customHeight="1" x14ac:dyDescent="0.2">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2.75" customHeight="1" x14ac:dyDescent="0.2">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2.75" customHeight="1" x14ac:dyDescent="0.2">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2.75" customHeight="1" x14ac:dyDescent="0.2">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2.75" customHeight="1" x14ac:dyDescent="0.2">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2.75" customHeight="1" x14ac:dyDescent="0.2">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2.75" customHeight="1" x14ac:dyDescent="0.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2.75" customHeight="1" x14ac:dyDescent="0.2">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2.75" customHeight="1" x14ac:dyDescent="0.2">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2.75" customHeight="1" x14ac:dyDescent="0.2">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2.75" customHeight="1" x14ac:dyDescent="0.2">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2.75" customHeight="1" x14ac:dyDescent="0.2">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2.75" customHeight="1" x14ac:dyDescent="0.2">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2.75" customHeight="1" x14ac:dyDescent="0.2">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2.75" customHeight="1" x14ac:dyDescent="0.2">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2.75" customHeight="1" x14ac:dyDescent="0.2">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2.75" customHeight="1" x14ac:dyDescent="0.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2.75" customHeight="1" x14ac:dyDescent="0.2">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2.75" customHeight="1" x14ac:dyDescent="0.2">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2.75" customHeight="1" x14ac:dyDescent="0.2">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2.75" customHeight="1" x14ac:dyDescent="0.2">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2.75" customHeight="1" x14ac:dyDescent="0.2">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2.75" customHeight="1" x14ac:dyDescent="0.2">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2.75" customHeight="1" x14ac:dyDescent="0.2">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2.75" customHeight="1" x14ac:dyDescent="0.2">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2.75" customHeight="1" x14ac:dyDescent="0.2">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2.75" customHeight="1" x14ac:dyDescent="0.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2.75" customHeight="1" x14ac:dyDescent="0.2">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2.75" customHeight="1" x14ac:dyDescent="0.2">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2.75" customHeight="1" x14ac:dyDescent="0.2">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2.75" customHeight="1" x14ac:dyDescent="0.2">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2.75" customHeight="1" x14ac:dyDescent="0.2">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2.75" customHeight="1" x14ac:dyDescent="0.2">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2.75" customHeight="1" x14ac:dyDescent="0.2">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2.75" customHeight="1" x14ac:dyDescent="0.2">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2.75" customHeight="1" x14ac:dyDescent="0.2">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2.75" customHeight="1" x14ac:dyDescent="0.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2.75" customHeight="1" x14ac:dyDescent="0.2">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2.75" customHeight="1" x14ac:dyDescent="0.2">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2.75" customHeight="1" x14ac:dyDescent="0.2">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2.75" customHeight="1" x14ac:dyDescent="0.2">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2.75" customHeight="1" x14ac:dyDescent="0.2">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2.75" customHeight="1" x14ac:dyDescent="0.2">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2.75" customHeight="1" x14ac:dyDescent="0.2">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2.75" customHeight="1" x14ac:dyDescent="0.2">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2.75" customHeight="1" x14ac:dyDescent="0.2">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2.75" customHeight="1" x14ac:dyDescent="0.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2.75" customHeight="1" x14ac:dyDescent="0.2">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2.75" customHeight="1" x14ac:dyDescent="0.2">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2.75" customHeight="1" x14ac:dyDescent="0.2">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2.75" customHeight="1" x14ac:dyDescent="0.2">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2.75" customHeight="1" x14ac:dyDescent="0.2">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2.75" customHeight="1" x14ac:dyDescent="0.2">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2.75" customHeight="1" x14ac:dyDescent="0.2">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2.75" customHeight="1" x14ac:dyDescent="0.2">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2.75" customHeight="1" x14ac:dyDescent="0.2">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2.75" customHeight="1" x14ac:dyDescent="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2.75" customHeight="1" x14ac:dyDescent="0.2">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2.75" customHeight="1" x14ac:dyDescent="0.2">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2.75" customHeight="1" x14ac:dyDescent="0.2">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2.75" customHeight="1" x14ac:dyDescent="0.2">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2.75" customHeight="1" x14ac:dyDescent="0.2">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2.75" customHeight="1" x14ac:dyDescent="0.2">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2.75" customHeight="1" x14ac:dyDescent="0.2">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2.75" customHeight="1" x14ac:dyDescent="0.2">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2.75" customHeight="1" x14ac:dyDescent="0.2">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2.75" customHeight="1" x14ac:dyDescent="0.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2.75" customHeight="1" x14ac:dyDescent="0.2">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2.75" customHeight="1" x14ac:dyDescent="0.2">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2.75" customHeight="1" x14ac:dyDescent="0.2">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2.75" customHeight="1" x14ac:dyDescent="0.2">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2.75" customHeight="1" x14ac:dyDescent="0.2">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2.75" customHeight="1" x14ac:dyDescent="0.2">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2.75" customHeight="1" x14ac:dyDescent="0.2">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2.75" customHeight="1" x14ac:dyDescent="0.2">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2.75" customHeight="1" x14ac:dyDescent="0.2">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2.75" customHeight="1" x14ac:dyDescent="0.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2.75" customHeight="1" x14ac:dyDescent="0.2">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2.75" customHeight="1" x14ac:dyDescent="0.2">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2.75" customHeight="1" x14ac:dyDescent="0.2">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2.75" customHeight="1" x14ac:dyDescent="0.2">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2.75" customHeight="1" x14ac:dyDescent="0.2">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2.75" customHeight="1" x14ac:dyDescent="0.2">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2.75" customHeight="1" x14ac:dyDescent="0.2">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2.75" customHeight="1" x14ac:dyDescent="0.2">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2.75" customHeight="1" x14ac:dyDescent="0.2">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2.75" customHeight="1" x14ac:dyDescent="0.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2.75" customHeight="1" x14ac:dyDescent="0.2">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2.75" customHeight="1" x14ac:dyDescent="0.2">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2.75" customHeight="1" x14ac:dyDescent="0.2">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2.75" customHeight="1" x14ac:dyDescent="0.2">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2.75" customHeight="1" x14ac:dyDescent="0.2">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2.75" customHeight="1" x14ac:dyDescent="0.2">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2.75" customHeight="1" x14ac:dyDescent="0.2">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2.75" customHeight="1" x14ac:dyDescent="0.2">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2.75" customHeight="1" x14ac:dyDescent="0.2">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2.75" customHeight="1" x14ac:dyDescent="0.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2.75" customHeight="1" x14ac:dyDescent="0.2">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2.75" customHeight="1" x14ac:dyDescent="0.2">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2.75" customHeight="1" x14ac:dyDescent="0.2">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2.75" customHeight="1" x14ac:dyDescent="0.2">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2.75" customHeight="1" x14ac:dyDescent="0.2">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2.75" customHeight="1" x14ac:dyDescent="0.2">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2.75" customHeight="1" x14ac:dyDescent="0.2">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2.75" customHeight="1" x14ac:dyDescent="0.2">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2.75" customHeight="1" x14ac:dyDescent="0.2">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2.75" customHeight="1" x14ac:dyDescent="0.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2.75" customHeight="1" x14ac:dyDescent="0.2">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2.75" customHeight="1" x14ac:dyDescent="0.2">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2.75" customHeight="1" x14ac:dyDescent="0.2">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2.75" customHeight="1" x14ac:dyDescent="0.2">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2.75" customHeight="1" x14ac:dyDescent="0.2">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2.75" customHeight="1" x14ac:dyDescent="0.2">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2.75" customHeight="1" x14ac:dyDescent="0.2">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2.75" customHeight="1" x14ac:dyDescent="0.2">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2.75" customHeight="1" x14ac:dyDescent="0.2">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2.75" customHeight="1" x14ac:dyDescent="0.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2.75" customHeight="1" x14ac:dyDescent="0.2">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2.75" customHeight="1" x14ac:dyDescent="0.2">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2.75" customHeight="1" x14ac:dyDescent="0.2">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2.75" customHeight="1" x14ac:dyDescent="0.2">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2.75" customHeight="1" x14ac:dyDescent="0.2">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2.75" customHeight="1" x14ac:dyDescent="0.2">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2.75" customHeight="1" x14ac:dyDescent="0.2">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2.75" customHeight="1" x14ac:dyDescent="0.2">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2.75" customHeight="1" x14ac:dyDescent="0.2">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2.75" customHeight="1" x14ac:dyDescent="0.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2.75" customHeight="1" x14ac:dyDescent="0.2">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2.75" customHeight="1" x14ac:dyDescent="0.2">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2.75" customHeight="1" x14ac:dyDescent="0.2">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2.75" customHeight="1" x14ac:dyDescent="0.2">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2.75" customHeight="1" x14ac:dyDescent="0.2">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2.75" customHeight="1" x14ac:dyDescent="0.2">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2.75" customHeight="1" x14ac:dyDescent="0.2">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2.75" customHeight="1" x14ac:dyDescent="0.2">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2.75" customHeight="1" x14ac:dyDescent="0.2">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2.75" customHeight="1" x14ac:dyDescent="0.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2.75" customHeight="1" x14ac:dyDescent="0.2">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2.75" customHeight="1" x14ac:dyDescent="0.2">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2.75" customHeight="1" x14ac:dyDescent="0.2">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2.75" customHeight="1" x14ac:dyDescent="0.2">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2.75" customHeight="1" x14ac:dyDescent="0.2">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2.75" customHeight="1" x14ac:dyDescent="0.2">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2.75" customHeight="1" x14ac:dyDescent="0.2">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2.75" customHeight="1" x14ac:dyDescent="0.2">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2.75" customHeight="1" x14ac:dyDescent="0.2">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2.75" customHeight="1" x14ac:dyDescent="0.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2.75" customHeight="1" x14ac:dyDescent="0.2">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2.75" customHeight="1" x14ac:dyDescent="0.2">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2.75" customHeight="1" x14ac:dyDescent="0.2">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2.75" customHeight="1" x14ac:dyDescent="0.2">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2.75" customHeight="1" x14ac:dyDescent="0.2">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2.75" customHeight="1" x14ac:dyDescent="0.2">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2.75" customHeight="1" x14ac:dyDescent="0.2">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2.75" customHeight="1" x14ac:dyDescent="0.2">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2.75" customHeight="1" x14ac:dyDescent="0.2">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2.75" customHeight="1" x14ac:dyDescent="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2.75" customHeight="1" x14ac:dyDescent="0.2">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2.75" customHeight="1" x14ac:dyDescent="0.2">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2.75" customHeight="1" x14ac:dyDescent="0.2">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2.75" customHeight="1" x14ac:dyDescent="0.2">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2.75" customHeight="1" x14ac:dyDescent="0.2">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2.75" customHeight="1" x14ac:dyDescent="0.2">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2.75" customHeight="1" x14ac:dyDescent="0.2">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2.75" customHeight="1" x14ac:dyDescent="0.2">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2.75" customHeight="1" x14ac:dyDescent="0.2">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2.75" customHeight="1" x14ac:dyDescent="0.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2.75" customHeight="1" x14ac:dyDescent="0.2">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2.75" customHeight="1" x14ac:dyDescent="0.2">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2.75" customHeight="1" x14ac:dyDescent="0.2">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2.75" customHeight="1" x14ac:dyDescent="0.2">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2.75" customHeight="1" x14ac:dyDescent="0.2">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2.75" customHeight="1" x14ac:dyDescent="0.2">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2.75" customHeight="1" x14ac:dyDescent="0.2">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2.75" customHeight="1" x14ac:dyDescent="0.2">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2.75" customHeight="1" x14ac:dyDescent="0.2">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2.75" customHeight="1" x14ac:dyDescent="0.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2.75" customHeight="1" x14ac:dyDescent="0.2">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2.75" customHeight="1" x14ac:dyDescent="0.2">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2.75" customHeight="1" x14ac:dyDescent="0.2">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2.75" customHeight="1" x14ac:dyDescent="0.2">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2.75" customHeight="1" x14ac:dyDescent="0.2">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2.75" customHeight="1" x14ac:dyDescent="0.2">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2.75" customHeight="1" x14ac:dyDescent="0.2">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2.75" customHeight="1" x14ac:dyDescent="0.2">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2.75" customHeight="1" x14ac:dyDescent="0.2">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2.75" customHeight="1" x14ac:dyDescent="0.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2.75" customHeight="1" x14ac:dyDescent="0.2">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2.75" customHeight="1" x14ac:dyDescent="0.2">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2.75" customHeight="1" x14ac:dyDescent="0.2">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2.75" customHeight="1" x14ac:dyDescent="0.2">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2.75" customHeight="1" x14ac:dyDescent="0.2">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2.75" customHeight="1" x14ac:dyDescent="0.2">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2.75" customHeight="1" x14ac:dyDescent="0.2">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2.75" customHeight="1" x14ac:dyDescent="0.2">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2.75" customHeight="1" x14ac:dyDescent="0.2">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2.75" customHeight="1" x14ac:dyDescent="0.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2.75" customHeight="1" x14ac:dyDescent="0.2">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2.75" customHeight="1" x14ac:dyDescent="0.2">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2.75" customHeight="1" x14ac:dyDescent="0.2">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2.75" customHeight="1" x14ac:dyDescent="0.2">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2.75" customHeight="1" x14ac:dyDescent="0.2">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2.75" customHeight="1" x14ac:dyDescent="0.2">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2.75" customHeight="1" x14ac:dyDescent="0.2">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2.75" customHeight="1" x14ac:dyDescent="0.2">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2.75" customHeight="1" x14ac:dyDescent="0.2">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2.75" customHeight="1" x14ac:dyDescent="0.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2.75" customHeight="1" x14ac:dyDescent="0.2">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2.75" customHeight="1" x14ac:dyDescent="0.2">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2.75" customHeight="1" x14ac:dyDescent="0.2">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2.75" customHeight="1" x14ac:dyDescent="0.2">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2.75" customHeight="1" x14ac:dyDescent="0.2">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2.75" customHeight="1" x14ac:dyDescent="0.2">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2.75" customHeight="1" x14ac:dyDescent="0.2">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2.75" customHeight="1" x14ac:dyDescent="0.2">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2.75" customHeight="1" x14ac:dyDescent="0.2">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2.75" customHeight="1" x14ac:dyDescent="0.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2.75" customHeight="1" x14ac:dyDescent="0.2">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2.75" customHeight="1" x14ac:dyDescent="0.2">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2.75" customHeight="1" x14ac:dyDescent="0.2">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2.75" customHeight="1" x14ac:dyDescent="0.2">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2.75" customHeight="1" x14ac:dyDescent="0.2">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2.75" customHeight="1" x14ac:dyDescent="0.2">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2.75" customHeight="1" x14ac:dyDescent="0.2">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2.75" customHeight="1" x14ac:dyDescent="0.2">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2.75" customHeight="1" x14ac:dyDescent="0.2">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2.75" customHeight="1" x14ac:dyDescent="0.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2.75" customHeight="1" x14ac:dyDescent="0.2">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2.75" customHeight="1" x14ac:dyDescent="0.2">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2.75" customHeight="1" x14ac:dyDescent="0.2">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2.75" customHeight="1" x14ac:dyDescent="0.2">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2.75" customHeight="1" x14ac:dyDescent="0.2">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2.75" customHeight="1" x14ac:dyDescent="0.2">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2.75" customHeight="1" x14ac:dyDescent="0.2">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2.75" customHeight="1" x14ac:dyDescent="0.2">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2.75" customHeight="1" x14ac:dyDescent="0.2">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2.75" customHeight="1" x14ac:dyDescent="0.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2.75" customHeight="1" x14ac:dyDescent="0.2">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2.75" customHeight="1" x14ac:dyDescent="0.2">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2.75" customHeight="1" x14ac:dyDescent="0.2">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2.75" customHeight="1" x14ac:dyDescent="0.2">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2.75" customHeight="1" x14ac:dyDescent="0.2">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2.75" customHeight="1" x14ac:dyDescent="0.2">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2.75" customHeight="1" x14ac:dyDescent="0.2">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2.75" customHeight="1" x14ac:dyDescent="0.2">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2.75" customHeight="1" x14ac:dyDescent="0.2">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2.75" customHeight="1" x14ac:dyDescent="0.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2.75" customHeight="1" x14ac:dyDescent="0.2">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2.75" customHeight="1" x14ac:dyDescent="0.2">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2.75" customHeight="1" x14ac:dyDescent="0.2">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2.75" customHeight="1" x14ac:dyDescent="0.2">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2.75" customHeight="1" x14ac:dyDescent="0.2">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2.75" customHeight="1" x14ac:dyDescent="0.2">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2.75" customHeight="1" x14ac:dyDescent="0.2">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2.75" customHeight="1" x14ac:dyDescent="0.2">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2.75" customHeight="1" x14ac:dyDescent="0.2">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2.75" customHeight="1" x14ac:dyDescent="0.2">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2.75" customHeight="1" x14ac:dyDescent="0.2">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2.75" customHeight="1" x14ac:dyDescent="0.2">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2.75" customHeight="1" x14ac:dyDescent="0.2">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2.75" customHeight="1" x14ac:dyDescent="0.2">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2.75" customHeight="1" x14ac:dyDescent="0.2">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2.75" customHeight="1" x14ac:dyDescent="0.2">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2.75" customHeight="1" x14ac:dyDescent="0.2">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2.75" customHeight="1" x14ac:dyDescent="0.2">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2.75" customHeight="1" x14ac:dyDescent="0.2">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2.75" customHeight="1" x14ac:dyDescent="0.2">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2.75" customHeight="1" x14ac:dyDescent="0.2">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2.75" customHeight="1" x14ac:dyDescent="0.2">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2.75" customHeight="1" x14ac:dyDescent="0.2">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2.75" customHeight="1" x14ac:dyDescent="0.2">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2.75" customHeight="1" x14ac:dyDescent="0.2">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2.75" customHeight="1" x14ac:dyDescent="0.2">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2.75" customHeight="1" x14ac:dyDescent="0.2">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2.75" customHeight="1" x14ac:dyDescent="0.2">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2.75" customHeight="1" x14ac:dyDescent="0.2">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2.75" customHeight="1" x14ac:dyDescent="0.2">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2.75" customHeight="1" x14ac:dyDescent="0.2">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2.75" customHeight="1" x14ac:dyDescent="0.2">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2.75" customHeight="1" x14ac:dyDescent="0.2">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2.75" customHeight="1" x14ac:dyDescent="0.2">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2.75" customHeight="1" x14ac:dyDescent="0.2">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2.75" customHeight="1" x14ac:dyDescent="0.2">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2.75" customHeight="1" x14ac:dyDescent="0.2">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2.75" customHeight="1" x14ac:dyDescent="0.2">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2.75" customHeight="1" x14ac:dyDescent="0.2">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2.75" customHeight="1" x14ac:dyDescent="0.2">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2.75" customHeight="1" x14ac:dyDescent="0.2">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2.75" customHeight="1" x14ac:dyDescent="0.2">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2.75" customHeight="1" x14ac:dyDescent="0.2">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2.75" customHeight="1" x14ac:dyDescent="0.2">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2.75" customHeight="1" x14ac:dyDescent="0.2">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2.75" customHeight="1" x14ac:dyDescent="0.2">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2.75" customHeight="1" x14ac:dyDescent="0.2">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2.75" customHeight="1" x14ac:dyDescent="0.2">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2.75" customHeight="1" x14ac:dyDescent="0.2">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2.75" customHeight="1" x14ac:dyDescent="0.2">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2.75" customHeight="1" x14ac:dyDescent="0.2">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2.75" customHeight="1" x14ac:dyDescent="0.2">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2.75" customHeight="1" x14ac:dyDescent="0.2">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2.75" customHeight="1" x14ac:dyDescent="0.2">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2.75" customHeight="1" x14ac:dyDescent="0.2">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2.75" customHeight="1" x14ac:dyDescent="0.2">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2.75" customHeight="1" x14ac:dyDescent="0.2">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2.75" customHeight="1" x14ac:dyDescent="0.2">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2.75" customHeight="1" x14ac:dyDescent="0.2">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2.75" customHeight="1" x14ac:dyDescent="0.2">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2.75" customHeight="1" x14ac:dyDescent="0.2">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2.75" customHeight="1" x14ac:dyDescent="0.2">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2.75" customHeight="1" x14ac:dyDescent="0.2">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2.75" customHeight="1" x14ac:dyDescent="0.2">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2.75" customHeight="1" x14ac:dyDescent="0.2">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2.75" customHeight="1" x14ac:dyDescent="0.2">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2.75" customHeight="1" x14ac:dyDescent="0.2">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2.75" customHeight="1" x14ac:dyDescent="0.2">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2.75" customHeight="1" x14ac:dyDescent="0.2">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2.75" customHeight="1" x14ac:dyDescent="0.2">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2.75" customHeight="1" x14ac:dyDescent="0.2">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2.75" customHeight="1" x14ac:dyDescent="0.2">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2.75" customHeight="1" x14ac:dyDescent="0.2">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2.75" customHeight="1" x14ac:dyDescent="0.2">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2.75" customHeight="1" x14ac:dyDescent="0.2">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2.75" customHeight="1" x14ac:dyDescent="0.2">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2.75" customHeight="1" x14ac:dyDescent="0.2">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2.75" customHeight="1" x14ac:dyDescent="0.2">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2.75" customHeight="1" x14ac:dyDescent="0.2">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2.75" customHeight="1" x14ac:dyDescent="0.2">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2.75" customHeight="1" x14ac:dyDescent="0.2">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2.75" customHeight="1" x14ac:dyDescent="0.2">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2.75" customHeight="1" x14ac:dyDescent="0.2">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2.75" customHeight="1" x14ac:dyDescent="0.2">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2.75" customHeight="1" x14ac:dyDescent="0.2">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2.75" customHeight="1" x14ac:dyDescent="0.2">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2.75" customHeight="1" x14ac:dyDescent="0.2">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2.75" customHeight="1" x14ac:dyDescent="0.2">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2.75" customHeight="1" x14ac:dyDescent="0.2">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2.75" customHeight="1" x14ac:dyDescent="0.2">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2.75" customHeight="1" x14ac:dyDescent="0.2">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2.75" customHeight="1" x14ac:dyDescent="0.2">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2.75" customHeight="1" x14ac:dyDescent="0.2">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2.75" customHeight="1" x14ac:dyDescent="0.2">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2.75" customHeight="1" x14ac:dyDescent="0.2">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2.75" customHeight="1" x14ac:dyDescent="0.2">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2.75" customHeight="1" x14ac:dyDescent="0.2">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2.75" customHeight="1" x14ac:dyDescent="0.2">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2.75" customHeight="1" x14ac:dyDescent="0.2">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2.75" customHeight="1" x14ac:dyDescent="0.2">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2.75" customHeight="1" x14ac:dyDescent="0.2">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2.75" customHeight="1" x14ac:dyDescent="0.2">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2.75" customHeight="1" x14ac:dyDescent="0.2">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2.75" customHeight="1" x14ac:dyDescent="0.2">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2.75" customHeight="1" x14ac:dyDescent="0.2">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2.75" customHeight="1" x14ac:dyDescent="0.2">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2.75" customHeight="1" x14ac:dyDescent="0.2">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12.75" customHeight="1" x14ac:dyDescent="0.2">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9"/>
  <sheetViews>
    <sheetView topLeftCell="A3" workbookViewId="0">
      <selection activeCell="A26" sqref="A26:A28"/>
    </sheetView>
  </sheetViews>
  <sheetFormatPr baseColWidth="10" defaultColWidth="12.5" defaultRowHeight="15" customHeight="1" x14ac:dyDescent="0.15"/>
  <cols>
    <col min="1" max="1" width="28.6640625" customWidth="1"/>
    <col min="2" max="6" width="10" customWidth="1"/>
    <col min="7" max="26" width="9.33203125" customWidth="1"/>
  </cols>
  <sheetData>
    <row r="1" spans="1:26" ht="12.75" customHeight="1" x14ac:dyDescent="0.2">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26" ht="12.75"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row>
    <row r="3" spans="1:26" ht="12.75" customHeight="1" x14ac:dyDescent="0.2">
      <c r="A3" s="125" t="s">
        <v>161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row>
    <row r="4" spans="1:26" ht="12.75" customHeight="1" x14ac:dyDescent="0.2">
      <c r="A4" s="125" t="s">
        <v>163</v>
      </c>
      <c r="B4" s="124"/>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2.75" customHeight="1" x14ac:dyDescent="0.2">
      <c r="A5" s="125" t="s">
        <v>165</v>
      </c>
      <c r="B5" s="124"/>
      <c r="C5" s="124"/>
      <c r="D5" s="124"/>
      <c r="E5" s="124"/>
      <c r="F5" s="124"/>
      <c r="G5" s="124"/>
      <c r="H5" s="124"/>
      <c r="I5" s="124"/>
      <c r="J5" s="124"/>
      <c r="K5" s="124"/>
      <c r="L5" s="124"/>
      <c r="M5" s="124"/>
      <c r="N5" s="124"/>
      <c r="O5" s="124"/>
      <c r="P5" s="124"/>
      <c r="Q5" s="124"/>
      <c r="R5" s="124"/>
      <c r="S5" s="124"/>
      <c r="T5" s="124"/>
      <c r="U5" s="124"/>
      <c r="V5" s="124"/>
      <c r="W5" s="124"/>
      <c r="X5" s="124"/>
      <c r="Y5" s="124"/>
      <c r="Z5" s="124"/>
    </row>
    <row r="6" spans="1:26" ht="12.75" customHeight="1" x14ac:dyDescent="0.2">
      <c r="A6" s="125" t="s">
        <v>167</v>
      </c>
      <c r="B6" s="124"/>
      <c r="C6" s="124"/>
      <c r="D6" s="124"/>
      <c r="E6" s="124"/>
      <c r="F6" s="124"/>
      <c r="G6" s="124"/>
      <c r="H6" s="124"/>
      <c r="I6" s="124"/>
      <c r="J6" s="124"/>
      <c r="K6" s="124"/>
      <c r="L6" s="124"/>
      <c r="M6" s="124"/>
      <c r="N6" s="124"/>
      <c r="O6" s="124"/>
      <c r="P6" s="124"/>
      <c r="Q6" s="124"/>
      <c r="R6" s="124"/>
      <c r="S6" s="124"/>
      <c r="T6" s="124"/>
      <c r="U6" s="124"/>
      <c r="V6" s="124"/>
      <c r="W6" s="124"/>
      <c r="X6" s="124"/>
      <c r="Y6" s="124"/>
      <c r="Z6" s="124"/>
    </row>
    <row r="7" spans="1:26" ht="12.75" customHeight="1" x14ac:dyDescent="0.2">
      <c r="A7" s="125" t="s">
        <v>169</v>
      </c>
      <c r="B7" s="124"/>
      <c r="C7" s="124"/>
      <c r="D7" s="124"/>
      <c r="E7" s="124"/>
      <c r="F7" s="124"/>
      <c r="G7" s="124"/>
      <c r="H7" s="124"/>
      <c r="I7" s="124"/>
      <c r="J7" s="124"/>
      <c r="K7" s="124"/>
      <c r="L7" s="124"/>
      <c r="M7" s="124"/>
      <c r="N7" s="124"/>
      <c r="O7" s="124"/>
      <c r="P7" s="124"/>
      <c r="Q7" s="124"/>
      <c r="R7" s="124"/>
      <c r="S7" s="124"/>
      <c r="T7" s="124"/>
      <c r="U7" s="124"/>
      <c r="V7" s="124"/>
      <c r="W7" s="124"/>
      <c r="X7" s="124"/>
      <c r="Y7" s="124"/>
      <c r="Z7" s="124"/>
    </row>
    <row r="8" spans="1:26" ht="12.75" customHeight="1" x14ac:dyDescent="0.2">
      <c r="A8" s="125" t="s">
        <v>172</v>
      </c>
      <c r="B8" s="124"/>
      <c r="C8" s="124"/>
      <c r="D8" s="124"/>
      <c r="E8" s="124"/>
      <c r="F8" s="124"/>
      <c r="G8" s="124"/>
      <c r="H8" s="124"/>
      <c r="I8" s="124"/>
      <c r="J8" s="124"/>
      <c r="K8" s="124"/>
      <c r="L8" s="124"/>
      <c r="M8" s="124"/>
      <c r="N8" s="124"/>
      <c r="O8" s="124"/>
      <c r="P8" s="124"/>
      <c r="Q8" s="124"/>
      <c r="R8" s="124"/>
      <c r="S8" s="124"/>
      <c r="T8" s="124"/>
      <c r="U8" s="124"/>
      <c r="V8" s="124"/>
      <c r="W8" s="124"/>
      <c r="X8" s="124"/>
      <c r="Y8" s="124"/>
      <c r="Z8" s="124"/>
    </row>
    <row r="9" spans="1:26" ht="12.75" customHeight="1" x14ac:dyDescent="0.2">
      <c r="A9" s="125" t="s">
        <v>175</v>
      </c>
      <c r="B9" s="124"/>
      <c r="C9" s="124"/>
      <c r="D9" s="124"/>
      <c r="E9" s="124"/>
      <c r="F9" s="124"/>
      <c r="G9" s="124"/>
      <c r="H9" s="124"/>
      <c r="I9" s="124"/>
      <c r="J9" s="124"/>
      <c r="K9" s="124"/>
      <c r="L9" s="124"/>
      <c r="M9" s="124"/>
      <c r="N9" s="124"/>
      <c r="O9" s="124"/>
      <c r="P9" s="124"/>
      <c r="Q9" s="124"/>
      <c r="R9" s="124"/>
      <c r="S9" s="124"/>
      <c r="T9" s="124"/>
      <c r="U9" s="124"/>
      <c r="V9" s="124"/>
      <c r="W9" s="124"/>
      <c r="X9" s="124"/>
      <c r="Y9" s="124"/>
      <c r="Z9" s="124"/>
    </row>
    <row r="10" spans="1:26" ht="12.75" customHeight="1" x14ac:dyDescent="0.2">
      <c r="A10" s="125" t="s">
        <v>177</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6" ht="12.75" customHeight="1" x14ac:dyDescent="0.2">
      <c r="A11" s="125" t="s">
        <v>179</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row>
    <row r="12" spans="1:26" ht="12.75" customHeight="1" x14ac:dyDescent="0.2">
      <c r="A12" s="125" t="s">
        <v>203</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6" ht="12.75" customHeight="1" x14ac:dyDescent="0.2">
      <c r="A13" s="125" t="s">
        <v>204</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row>
    <row r="14" spans="1:26" ht="12.75" customHeight="1" x14ac:dyDescent="0.2">
      <c r="A14" s="125" t="s">
        <v>205</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row>
    <row r="15" spans="1:26" ht="12.75"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row>
    <row r="16" spans="1:26" ht="12.75" customHeight="1" x14ac:dyDescent="0.2">
      <c r="A16" s="125" t="s">
        <v>206</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row>
    <row r="17" spans="1:26" ht="12.75" customHeight="1" x14ac:dyDescent="0.2">
      <c r="A17" s="125" t="s">
        <v>186</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row>
    <row r="18" spans="1:26" ht="12.75" customHeight="1" x14ac:dyDescent="0.2">
      <c r="A18" s="125" t="s">
        <v>188</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2.75" customHeight="1" x14ac:dyDescent="0.2">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row>
    <row r="20" spans="1:26" ht="12.75" customHeight="1" x14ac:dyDescent="0.2">
      <c r="A20" s="125" t="s">
        <v>194</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ht="12.75" customHeight="1" x14ac:dyDescent="0.2">
      <c r="A21" s="125" t="s">
        <v>195</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row>
    <row r="22" spans="1:26" ht="12.75" customHeight="1" x14ac:dyDescent="0.2">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row>
    <row r="23" spans="1:26" ht="12.75" customHeight="1" x14ac:dyDescent="0.2">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1:26" ht="12.75" customHeight="1" x14ac:dyDescent="0.2">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row>
    <row r="25" spans="1:26" ht="12.75" customHeight="1"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row>
    <row r="26" spans="1:26" ht="12.75" customHeight="1" x14ac:dyDescent="0.2">
      <c r="A26" s="124" t="s">
        <v>392</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spans="1:26" ht="20" customHeight="1" x14ac:dyDescent="0.2">
      <c r="A27" s="124" t="s">
        <v>393</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spans="1:26" ht="38" customHeight="1" x14ac:dyDescent="0.2">
      <c r="A28" s="135" t="s">
        <v>394</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row>
    <row r="29" spans="1:26" ht="12.75" customHeight="1"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spans="1:26" ht="12.75" customHeight="1"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6" ht="12.75" customHeight="1"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1:26" ht="12.75"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spans="1:26" ht="12.75" customHeight="1" x14ac:dyDescent="0.2">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6" ht="12.75" customHeight="1"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spans="1:26" ht="12.75" customHeight="1" x14ac:dyDescent="0.2">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spans="1:26" ht="12.75" customHeight="1" x14ac:dyDescent="0.2">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ht="12.75" customHeight="1" x14ac:dyDescent="0.2">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spans="1:26" ht="12.75" customHeight="1" x14ac:dyDescent="0.2">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spans="1:26" ht="12.75"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ht="12.75" customHeight="1" x14ac:dyDescent="0.2">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spans="1:26" ht="12.75" customHeight="1"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ht="12.75" customHeight="1"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spans="1:26" ht="12.75" customHeight="1"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spans="1:26" ht="12.75" customHeight="1"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spans="1:26" ht="12.75" customHeight="1" x14ac:dyDescent="0.2">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spans="1:26" ht="12.75" customHeight="1" x14ac:dyDescent="0.2">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spans="1:26" ht="12.75" customHeight="1" x14ac:dyDescent="0.2">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spans="1:26" ht="12.75" customHeight="1"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spans="1:26" ht="12.75" customHeight="1" x14ac:dyDescent="0.2">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spans="1:26" ht="12.75" customHeight="1" x14ac:dyDescent="0.2">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spans="1:26" ht="12.75" customHeight="1" x14ac:dyDescent="0.2">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1:26" ht="12.75" customHeight="1" x14ac:dyDescent="0.2">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spans="1:26" ht="12.75" customHeight="1" x14ac:dyDescent="0.2">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spans="1:26" ht="12.75" customHeight="1" x14ac:dyDescent="0.2">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spans="1:26" ht="12.75" customHeight="1" x14ac:dyDescent="0.2">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row>
    <row r="56" spans="1:26" ht="12.75" customHeight="1" x14ac:dyDescent="0.2">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spans="1:26" ht="12.75" customHeight="1" x14ac:dyDescent="0.2">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spans="1:26" ht="12.75" customHeight="1" x14ac:dyDescent="0.2">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spans="1:26" ht="12.75" customHeight="1" x14ac:dyDescent="0.2">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row>
    <row r="60" spans="1:26" ht="12.75" customHeight="1" x14ac:dyDescent="0.2">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spans="1:26" ht="12.75" customHeight="1" x14ac:dyDescent="0.2">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spans="1:26" ht="12.75" customHeight="1" x14ac:dyDescent="0.2">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spans="1:26" ht="12.75" customHeight="1" x14ac:dyDescent="0.2">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row>
    <row r="64" spans="1:26" ht="12.75" customHeight="1" x14ac:dyDescent="0.2">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row>
    <row r="65" spans="1:26" ht="12.75" customHeight="1" x14ac:dyDescent="0.2">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1:26" ht="12.75" customHeight="1" x14ac:dyDescent="0.2">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spans="1:26" ht="12.75" customHeight="1" x14ac:dyDescent="0.2">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spans="1:26" ht="12.75" customHeight="1" x14ac:dyDescent="0.2">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row>
    <row r="69" spans="1:26" ht="12.75" customHeight="1" x14ac:dyDescent="0.2">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row>
    <row r="70" spans="1:26" ht="12.75" customHeight="1" x14ac:dyDescent="0.2">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row>
    <row r="71" spans="1:26" ht="12.75" customHeight="1" x14ac:dyDescent="0.2">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row>
    <row r="72" spans="1:26" ht="12.75" customHeight="1" x14ac:dyDescent="0.2">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row>
    <row r="73" spans="1:26" ht="12.75" customHeight="1" x14ac:dyDescent="0.2">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spans="1:26" ht="12.75" customHeight="1" x14ac:dyDescent="0.2">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spans="1:26" ht="12.75" customHeight="1" x14ac:dyDescent="0.2">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row>
    <row r="76" spans="1:26" ht="12.75" customHeight="1" x14ac:dyDescent="0.2">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row>
    <row r="77" spans="1:26" ht="12.75" customHeight="1" x14ac:dyDescent="0.2">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row>
    <row r="78" spans="1:26" ht="12.75" customHeight="1" x14ac:dyDescent="0.2">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spans="1:26" ht="12.75" customHeight="1" x14ac:dyDescent="0.2">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spans="1:26" ht="12.75" customHeight="1" x14ac:dyDescent="0.2">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row>
    <row r="81" spans="1:26" ht="12.75" customHeight="1" x14ac:dyDescent="0.2">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row r="82" spans="1:26" ht="12.75" customHeight="1" x14ac:dyDescent="0.2">
      <c r="A82" s="124"/>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spans="1:26" ht="12.75" customHeight="1" x14ac:dyDescent="0.2">
      <c r="A83" s="124"/>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spans="1:26" ht="12.75" customHeight="1" x14ac:dyDescent="0.2">
      <c r="A84" s="124"/>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spans="1:26" ht="12.75" customHeight="1" x14ac:dyDescent="0.2">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row>
    <row r="86" spans="1:26" ht="12.75" customHeight="1" x14ac:dyDescent="0.2">
      <c r="A86" s="124"/>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spans="1:26" ht="12.75" customHeight="1" x14ac:dyDescent="0.2">
      <c r="A87" s="124"/>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row>
    <row r="88" spans="1:26" ht="12.75" customHeight="1" x14ac:dyDescent="0.2">
      <c r="A88" s="124"/>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row>
    <row r="89" spans="1:26" ht="12.75" customHeight="1" x14ac:dyDescent="0.2">
      <c r="A89" s="124"/>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row>
    <row r="90" spans="1:26" ht="12.75" customHeight="1" x14ac:dyDescent="0.2">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row>
    <row r="91" spans="1:26" ht="12.75" customHeight="1" x14ac:dyDescent="0.2">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row>
    <row r="92" spans="1:26" ht="12.75" customHeight="1" x14ac:dyDescent="0.2">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row>
    <row r="93" spans="1:26" ht="12.75" customHeight="1" x14ac:dyDescent="0.2">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row>
    <row r="94" spans="1:26" ht="12.75" customHeight="1" x14ac:dyDescent="0.2">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row>
    <row r="95" spans="1:26" ht="12.75" customHeight="1" x14ac:dyDescent="0.2">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row>
    <row r="96" spans="1:26" ht="12.75" customHeight="1" x14ac:dyDescent="0.2">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row>
    <row r="97" spans="1:26" ht="12.75" customHeight="1" x14ac:dyDescent="0.2">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row>
    <row r="98" spans="1:26" ht="12.75" customHeight="1" x14ac:dyDescent="0.2">
      <c r="A98" s="124"/>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row>
    <row r="99" spans="1:26" ht="12.75" customHeight="1" x14ac:dyDescent="0.2">
      <c r="A99" s="124"/>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row>
    <row r="100" spans="1:26" ht="12.75" customHeight="1" x14ac:dyDescent="0.2">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row>
    <row r="101" spans="1:26" ht="12.75" customHeight="1" x14ac:dyDescent="0.2">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row>
    <row r="102" spans="1:26" ht="12.75" customHeight="1" x14ac:dyDescent="0.2">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row>
    <row r="103" spans="1:26" ht="12.75" customHeight="1" x14ac:dyDescent="0.2">
      <c r="A103" s="124"/>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row>
    <row r="104" spans="1:26" ht="12.75" customHeight="1" x14ac:dyDescent="0.2">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row>
    <row r="105" spans="1:26" ht="12.75" customHeight="1" x14ac:dyDescent="0.2">
      <c r="A105" s="124"/>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row>
    <row r="106" spans="1:26" ht="12.75" customHeight="1" x14ac:dyDescent="0.2">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row>
    <row r="107" spans="1:26" ht="12.75" customHeight="1" x14ac:dyDescent="0.2">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row>
    <row r="108" spans="1:26" ht="12.75" customHeight="1" x14ac:dyDescent="0.2">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row>
    <row r="109" spans="1:26" ht="12.75" customHeight="1" x14ac:dyDescent="0.2">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row>
    <row r="110" spans="1:26" ht="12.75" customHeight="1" x14ac:dyDescent="0.2">
      <c r="A110" s="124"/>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row>
    <row r="111" spans="1:26" ht="12.75" customHeight="1" x14ac:dyDescent="0.2">
      <c r="A111" s="124"/>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row>
    <row r="112" spans="1:26" ht="12.75" customHeight="1" x14ac:dyDescent="0.2">
      <c r="A112" s="124"/>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row>
    <row r="113" spans="1:26" ht="12.75" customHeight="1" x14ac:dyDescent="0.2">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row>
    <row r="114" spans="1:26" ht="12.75" customHeight="1" x14ac:dyDescent="0.2">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row>
    <row r="115" spans="1:26" ht="12.75" customHeight="1" x14ac:dyDescent="0.2">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row>
    <row r="116" spans="1:26" ht="12.75" customHeight="1" x14ac:dyDescent="0.2">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row>
    <row r="117" spans="1:26" ht="12.75" customHeight="1" x14ac:dyDescent="0.2">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row>
    <row r="118" spans="1:26" ht="12.75" customHeight="1" x14ac:dyDescent="0.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row>
    <row r="119" spans="1:26" ht="12.75" customHeight="1" x14ac:dyDescent="0.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row>
    <row r="120" spans="1:26" ht="12.75" customHeight="1" x14ac:dyDescent="0.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row>
    <row r="121" spans="1:26" ht="12.75" customHeight="1" x14ac:dyDescent="0.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row>
    <row r="122" spans="1:26" ht="12.75" customHeight="1" x14ac:dyDescent="0.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row>
    <row r="123" spans="1:26" ht="12.75" customHeight="1" x14ac:dyDescent="0.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row>
    <row r="124" spans="1:26" ht="12.75" customHeight="1" x14ac:dyDescent="0.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row>
    <row r="125" spans="1:26" ht="12.75" customHeight="1" x14ac:dyDescent="0.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row>
    <row r="126" spans="1:26" ht="12.75" customHeight="1" x14ac:dyDescent="0.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row>
    <row r="127" spans="1:26" ht="12.75" customHeight="1" x14ac:dyDescent="0.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row>
    <row r="128" spans="1:26" ht="12.75" customHeight="1" x14ac:dyDescent="0.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row>
    <row r="129" spans="1:26" ht="12.75" customHeight="1" x14ac:dyDescent="0.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row>
    <row r="130" spans="1:26" ht="12.75" customHeight="1" x14ac:dyDescent="0.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spans="1:26" ht="12.75" customHeight="1" x14ac:dyDescent="0.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row r="132" spans="1:26" ht="12.75" customHeight="1" x14ac:dyDescent="0.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row>
    <row r="133" spans="1:26" ht="12.75" customHeight="1" x14ac:dyDescent="0.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row>
    <row r="134" spans="1:26" ht="12.75" customHeight="1" x14ac:dyDescent="0.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row>
    <row r="135" spans="1:26" ht="12.75" customHeight="1" x14ac:dyDescent="0.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row>
    <row r="136" spans="1:26" ht="12.75" customHeight="1" x14ac:dyDescent="0.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row>
    <row r="137" spans="1:26" ht="12.75" customHeight="1" x14ac:dyDescent="0.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row>
    <row r="138" spans="1:26" ht="12.75" customHeight="1" x14ac:dyDescent="0.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row>
    <row r="139" spans="1:26" ht="12.75" customHeight="1" x14ac:dyDescent="0.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row>
    <row r="140" spans="1:26" ht="12.75" customHeight="1" x14ac:dyDescent="0.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row>
    <row r="141" spans="1:26" ht="12.75" customHeight="1" x14ac:dyDescent="0.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row>
    <row r="142" spans="1:26" ht="12.75" customHeight="1" x14ac:dyDescent="0.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row>
    <row r="143" spans="1:26" ht="12.75" customHeight="1" x14ac:dyDescent="0.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row>
    <row r="144" spans="1:26" ht="12.75" customHeight="1" x14ac:dyDescent="0.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row>
    <row r="145" spans="1:26" ht="12.75" customHeight="1" x14ac:dyDescent="0.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spans="1:26" ht="12.75" customHeight="1" x14ac:dyDescent="0.2">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row>
    <row r="147" spans="1:26" ht="12.75" customHeight="1" x14ac:dyDescent="0.2">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row>
    <row r="148" spans="1:26" ht="12.75" customHeight="1" x14ac:dyDescent="0.2">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spans="1:26" ht="12.75" customHeight="1" x14ac:dyDescent="0.2">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row>
    <row r="150" spans="1:26" ht="12.75" customHeight="1" x14ac:dyDescent="0.2">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row>
    <row r="151" spans="1:26" ht="12.75" customHeight="1" x14ac:dyDescent="0.2">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row>
    <row r="152" spans="1:26" ht="12.75" customHeight="1" x14ac:dyDescent="0.2">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row>
    <row r="153" spans="1:26" ht="12.75" customHeight="1" x14ac:dyDescent="0.2">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row>
    <row r="154" spans="1:26" ht="12.75" customHeight="1" x14ac:dyDescent="0.2">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row>
    <row r="155" spans="1:26" ht="12.75" customHeight="1" x14ac:dyDescent="0.2">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row>
    <row r="156" spans="1:26" ht="12.75" customHeight="1" x14ac:dyDescent="0.2">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row>
    <row r="157" spans="1:26" ht="12.75" customHeight="1" x14ac:dyDescent="0.2">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spans="1:26" ht="12.75" customHeight="1" x14ac:dyDescent="0.2">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row>
    <row r="159" spans="1:26" ht="12.75" customHeight="1" x14ac:dyDescent="0.2">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row>
    <row r="160" spans="1:26" ht="12.75" customHeight="1" x14ac:dyDescent="0.2">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row>
    <row r="161" spans="1:26" ht="12.75" customHeight="1" x14ac:dyDescent="0.2">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row>
    <row r="162" spans="1:26" ht="12.75" customHeight="1" x14ac:dyDescent="0.2">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ht="12.75" customHeight="1" x14ac:dyDescent="0.2">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row>
    <row r="164" spans="1:26" ht="12.75" customHeight="1" x14ac:dyDescent="0.2">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spans="1:26" ht="12.75" customHeight="1" x14ac:dyDescent="0.2">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row>
    <row r="166" spans="1:26" ht="12.75" customHeight="1" x14ac:dyDescent="0.2">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row>
    <row r="167" spans="1:26" ht="12.75" customHeight="1" x14ac:dyDescent="0.2">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row>
    <row r="168" spans="1:26" ht="12.75" customHeight="1" x14ac:dyDescent="0.2">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row>
    <row r="169" spans="1:26" ht="12.75" customHeight="1" x14ac:dyDescent="0.2">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row>
    <row r="170" spans="1:26" ht="12.75" customHeight="1" x14ac:dyDescent="0.2">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row>
    <row r="171" spans="1:26" ht="12.75" customHeight="1" x14ac:dyDescent="0.2">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row>
    <row r="172" spans="1:26" ht="12.75" customHeight="1" x14ac:dyDescent="0.2">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row>
    <row r="173" spans="1:26" ht="12.75" customHeight="1" x14ac:dyDescent="0.2">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row>
    <row r="174" spans="1:26" ht="12.75" customHeight="1" x14ac:dyDescent="0.2">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spans="1:26" ht="12.75" customHeight="1" x14ac:dyDescent="0.2">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row>
    <row r="176" spans="1:26" ht="12.75" customHeight="1" x14ac:dyDescent="0.2">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row>
    <row r="177" spans="1:26" ht="12.75" customHeight="1" x14ac:dyDescent="0.2">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row>
    <row r="178" spans="1:26" ht="12.75" customHeight="1" x14ac:dyDescent="0.2">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row>
    <row r="179" spans="1:26" ht="12.75" customHeight="1" x14ac:dyDescent="0.2">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row>
    <row r="180" spans="1:26" ht="12.75" customHeight="1" x14ac:dyDescent="0.2">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row>
    <row r="181" spans="1:26" ht="12.75" customHeight="1" x14ac:dyDescent="0.2">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row>
    <row r="182" spans="1:26" ht="12.75" customHeight="1" x14ac:dyDescent="0.2">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row>
    <row r="183" spans="1:26" ht="12.75" customHeight="1" x14ac:dyDescent="0.2">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row>
    <row r="184" spans="1:26" ht="12.75" customHeight="1" x14ac:dyDescent="0.2">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row>
    <row r="185" spans="1:26" ht="12.75" customHeight="1" x14ac:dyDescent="0.2">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row>
    <row r="186" spans="1:26" ht="12.75" customHeight="1" x14ac:dyDescent="0.2">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row>
    <row r="187" spans="1:26" ht="12.75" customHeight="1" x14ac:dyDescent="0.2">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row>
    <row r="188" spans="1:26" ht="12.75" customHeight="1" x14ac:dyDescent="0.2">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row>
    <row r="189" spans="1:26" ht="12.75" customHeight="1" x14ac:dyDescent="0.2">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row>
    <row r="190" spans="1:26" ht="12.75" customHeight="1" x14ac:dyDescent="0.2">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row>
    <row r="191" spans="1:26" ht="12.75" customHeight="1" x14ac:dyDescent="0.2">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row>
    <row r="192" spans="1:26" ht="12.75" customHeight="1" x14ac:dyDescent="0.2">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row>
    <row r="193" spans="1:26" ht="12.75" customHeight="1" x14ac:dyDescent="0.2">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row>
    <row r="194" spans="1:26" ht="12.75" customHeight="1" x14ac:dyDescent="0.2">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row>
    <row r="195" spans="1:26" ht="12.75" customHeight="1" x14ac:dyDescent="0.2">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row>
    <row r="196" spans="1:26" ht="12.75" customHeight="1" x14ac:dyDescent="0.2">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row>
    <row r="197" spans="1:26" ht="12.75" customHeight="1" x14ac:dyDescent="0.2">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row>
    <row r="198" spans="1:26" ht="12.75" customHeight="1" x14ac:dyDescent="0.2">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row>
    <row r="199" spans="1:26" ht="12.75" customHeight="1" x14ac:dyDescent="0.2">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row>
    <row r="200" spans="1:26" ht="12.75" customHeight="1" x14ac:dyDescent="0.2">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spans="1:26" ht="12.75" customHeight="1" x14ac:dyDescent="0.2">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row>
    <row r="202" spans="1:26" ht="12.75" customHeight="1" x14ac:dyDescent="0.2">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row>
    <row r="203" spans="1:26" ht="12.75" customHeight="1" x14ac:dyDescent="0.2">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row>
    <row r="204" spans="1:26" ht="12.75" customHeight="1" x14ac:dyDescent="0.2">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row>
    <row r="205" spans="1:26" ht="12.75" customHeight="1" x14ac:dyDescent="0.2">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row>
    <row r="206" spans="1:26" ht="12.75" customHeight="1" x14ac:dyDescent="0.2">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row>
    <row r="207" spans="1:26" ht="12.75" customHeight="1" x14ac:dyDescent="0.2">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row>
    <row r="208" spans="1:26" ht="12.75" customHeight="1" x14ac:dyDescent="0.2">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row>
    <row r="209" spans="1:26" ht="12.75" customHeight="1" x14ac:dyDescent="0.2">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row>
    <row r="210" spans="1:26" ht="12.75"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row>
    <row r="211" spans="1:26" ht="12.75" customHeight="1" x14ac:dyDescent="0.2">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row>
    <row r="212" spans="1:26" ht="12.75" customHeight="1" x14ac:dyDescent="0.2">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row>
    <row r="213" spans="1:26" ht="12.75" customHeight="1" x14ac:dyDescent="0.2">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row>
    <row r="214" spans="1:26" ht="12.75" customHeight="1" x14ac:dyDescent="0.2">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row>
    <row r="215" spans="1:26" ht="12.75" customHeight="1" x14ac:dyDescent="0.2">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row>
    <row r="216" spans="1:26" ht="12.75" customHeight="1" x14ac:dyDescent="0.2">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row>
    <row r="217" spans="1:26" ht="12.75" customHeight="1" x14ac:dyDescent="0.2">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row>
    <row r="218" spans="1:26" ht="12.75" customHeight="1" x14ac:dyDescent="0.2">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row>
    <row r="219" spans="1:26" ht="12.75" customHeight="1" x14ac:dyDescent="0.2">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row>
    <row r="220" spans="1:26" ht="12.75" customHeight="1" x14ac:dyDescent="0.2">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row>
    <row r="221" spans="1:26" ht="12.75" customHeight="1" x14ac:dyDescent="0.2">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spans="1:26" ht="12.75" customHeight="1" x14ac:dyDescent="0.2">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row>
    <row r="223" spans="1:26" ht="12.75" customHeight="1" x14ac:dyDescent="0.2">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row>
    <row r="224" spans="1:26" ht="12.75" customHeight="1" x14ac:dyDescent="0.2">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row>
    <row r="225" spans="1:26" ht="12.75" customHeight="1" x14ac:dyDescent="0.2">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row>
    <row r="226" spans="1:26" ht="12.75" customHeight="1" x14ac:dyDescent="0.2">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row>
    <row r="227" spans="1:26" ht="12.75" customHeight="1" x14ac:dyDescent="0.2">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row>
    <row r="228" spans="1:26" ht="12.75" customHeight="1" x14ac:dyDescent="0.2">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row>
    <row r="229" spans="1:26" ht="12.75" customHeight="1" x14ac:dyDescent="0.2">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row>
    <row r="230" spans="1:26" ht="12.75" customHeight="1" x14ac:dyDescent="0.2">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row>
    <row r="231" spans="1:26" ht="12.75" customHeight="1" x14ac:dyDescent="0.2">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row>
    <row r="232" spans="1:26" ht="12.75" customHeight="1" x14ac:dyDescent="0.2">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row>
    <row r="233" spans="1:26" ht="12.75" customHeight="1" x14ac:dyDescent="0.2">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row>
    <row r="234" spans="1:26" ht="12.75" customHeight="1" x14ac:dyDescent="0.2">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row>
    <row r="235" spans="1:26" ht="12.75" customHeight="1" x14ac:dyDescent="0.2">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row>
    <row r="236" spans="1:26" ht="12.75" customHeight="1" x14ac:dyDescent="0.2">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row>
    <row r="237" spans="1:26" ht="12.75" customHeight="1" x14ac:dyDescent="0.2">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row>
    <row r="238" spans="1:26" ht="12.75" customHeight="1" x14ac:dyDescent="0.2">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row>
    <row r="239" spans="1:26" ht="12.75" customHeight="1" x14ac:dyDescent="0.2">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row>
    <row r="240" spans="1:26" ht="12.75" customHeight="1" x14ac:dyDescent="0.2">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row>
    <row r="241" spans="1:26" ht="12.75" customHeight="1" x14ac:dyDescent="0.2">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row>
    <row r="242" spans="1:26" ht="12.75" customHeight="1" x14ac:dyDescent="0.2">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row>
    <row r="243" spans="1:26" ht="12.75" customHeight="1" x14ac:dyDescent="0.2">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row>
    <row r="244" spans="1:26" ht="12.75" customHeight="1" x14ac:dyDescent="0.2">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row>
    <row r="245" spans="1:26" ht="12.75" customHeight="1" x14ac:dyDescent="0.2">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row>
    <row r="246" spans="1:26" ht="12.75" customHeight="1" x14ac:dyDescent="0.2">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row>
    <row r="247" spans="1:26" ht="12.75" customHeight="1" x14ac:dyDescent="0.2">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row>
    <row r="248" spans="1:26" ht="12.75" customHeight="1" x14ac:dyDescent="0.2">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row>
    <row r="249" spans="1:26" ht="12.75" customHeight="1" x14ac:dyDescent="0.2">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row>
    <row r="250" spans="1:26" ht="12.75" customHeight="1" x14ac:dyDescent="0.2">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row>
    <row r="251" spans="1:26" ht="12.75" customHeight="1" x14ac:dyDescent="0.2">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row>
    <row r="252" spans="1:26" ht="12.75" customHeight="1" x14ac:dyDescent="0.2">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row>
    <row r="253" spans="1:26" ht="12.75" customHeight="1" x14ac:dyDescent="0.2">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row>
    <row r="254" spans="1:26" ht="12.75" customHeight="1" x14ac:dyDescent="0.2">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row>
    <row r="255" spans="1:26" ht="12.75" customHeight="1" x14ac:dyDescent="0.2">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row>
    <row r="256" spans="1:26" ht="12.75" customHeight="1" x14ac:dyDescent="0.2">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row>
    <row r="257" spans="1:26" ht="12.75" customHeight="1" x14ac:dyDescent="0.2">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row>
    <row r="258" spans="1:26" ht="12.75" customHeight="1" x14ac:dyDescent="0.2">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row>
    <row r="259" spans="1:26" ht="12.75" customHeight="1" x14ac:dyDescent="0.2">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row>
    <row r="260" spans="1:26" ht="12.75" customHeight="1" x14ac:dyDescent="0.2">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row>
    <row r="261" spans="1:26" ht="12.75" customHeight="1" x14ac:dyDescent="0.2">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row>
    <row r="262" spans="1:26" ht="12.75" customHeight="1" x14ac:dyDescent="0.2">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spans="1:26" ht="12.75" customHeight="1" x14ac:dyDescent="0.2">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row>
    <row r="264" spans="1:26" ht="12.75" customHeight="1" x14ac:dyDescent="0.2">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row>
    <row r="265" spans="1:26" ht="12.75" customHeight="1" x14ac:dyDescent="0.2">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row>
    <row r="266" spans="1:26" ht="12.75" customHeight="1" x14ac:dyDescent="0.2">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row>
    <row r="267" spans="1:26" ht="12.75" customHeight="1" x14ac:dyDescent="0.2">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row>
    <row r="268" spans="1:26" ht="12.75" customHeight="1" x14ac:dyDescent="0.2">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row>
    <row r="269" spans="1:26" ht="12.75" customHeight="1" x14ac:dyDescent="0.2">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row>
    <row r="270" spans="1:26" ht="12.75" customHeight="1" x14ac:dyDescent="0.2">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row>
    <row r="271" spans="1:26" ht="12.75" customHeight="1" x14ac:dyDescent="0.2">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row>
    <row r="272" spans="1:26" ht="12.75" customHeight="1" x14ac:dyDescent="0.2">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row>
    <row r="273" spans="1:26" ht="12.75" customHeight="1" x14ac:dyDescent="0.2">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row>
    <row r="274" spans="1:26" ht="12.75" customHeight="1" x14ac:dyDescent="0.2">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row>
    <row r="275" spans="1:26" ht="12.75" customHeight="1" x14ac:dyDescent="0.2">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row>
    <row r="276" spans="1:26" ht="12.75" customHeight="1" x14ac:dyDescent="0.2">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row>
    <row r="277" spans="1:26" ht="12.75" customHeight="1" x14ac:dyDescent="0.2">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row>
    <row r="278" spans="1:26" ht="12.75" customHeight="1" x14ac:dyDescent="0.2">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row>
    <row r="279" spans="1:26" ht="12.75" customHeight="1" x14ac:dyDescent="0.2">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row>
    <row r="280" spans="1:26" ht="12.75" customHeight="1" x14ac:dyDescent="0.2">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row>
    <row r="281" spans="1:26" ht="12.75" customHeight="1" x14ac:dyDescent="0.2">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row>
    <row r="282" spans="1:26" ht="12.75" customHeight="1" x14ac:dyDescent="0.2">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row>
    <row r="283" spans="1:26" ht="12.75" customHeight="1" x14ac:dyDescent="0.2">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row>
    <row r="284" spans="1:26" ht="12.75" customHeight="1" x14ac:dyDescent="0.2">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row>
    <row r="285" spans="1:26" ht="12.75" customHeight="1" x14ac:dyDescent="0.2">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row>
    <row r="286" spans="1:26" ht="12.75" customHeight="1" x14ac:dyDescent="0.2">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row>
    <row r="287" spans="1:26" ht="12.75" customHeight="1" x14ac:dyDescent="0.2">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row>
    <row r="288" spans="1:26" ht="12.75" customHeight="1" x14ac:dyDescent="0.2">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row>
    <row r="289" spans="1:26" ht="12.75" customHeight="1" x14ac:dyDescent="0.2">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row>
    <row r="290" spans="1:26" ht="12.75" customHeight="1" x14ac:dyDescent="0.2">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row>
    <row r="291" spans="1:26" ht="12.75" customHeight="1" x14ac:dyDescent="0.2">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row>
    <row r="292" spans="1:26" ht="12.75" customHeight="1" x14ac:dyDescent="0.2">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spans="1:26" ht="12.75" customHeight="1" x14ac:dyDescent="0.2">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row>
    <row r="294" spans="1:26" ht="12.75" customHeight="1" x14ac:dyDescent="0.2">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row>
    <row r="295" spans="1:26" ht="12.75" customHeight="1" x14ac:dyDescent="0.2">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row>
    <row r="296" spans="1:26" ht="12.75" customHeight="1" x14ac:dyDescent="0.2">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row>
    <row r="297" spans="1:26" ht="12.75" customHeight="1" x14ac:dyDescent="0.2">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row>
    <row r="298" spans="1:26" ht="12.75" customHeight="1" x14ac:dyDescent="0.2">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row>
    <row r="299" spans="1:26" ht="12.75" customHeight="1" x14ac:dyDescent="0.2">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row>
    <row r="300" spans="1:26" ht="12.75" customHeight="1" x14ac:dyDescent="0.2">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row>
    <row r="301" spans="1:26" ht="12.75" customHeight="1" x14ac:dyDescent="0.2">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spans="1:26" ht="12.75" customHeight="1" x14ac:dyDescent="0.2">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row>
    <row r="303" spans="1:26" ht="12.75" customHeight="1" x14ac:dyDescent="0.2">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row>
    <row r="304" spans="1:26" ht="12.75" customHeight="1" x14ac:dyDescent="0.2">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row>
    <row r="305" spans="1:26" ht="12.75" customHeight="1" x14ac:dyDescent="0.2">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row>
    <row r="306" spans="1:26" ht="12.75" customHeight="1" x14ac:dyDescent="0.2">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row>
    <row r="307" spans="1:26" ht="12.75" customHeight="1" x14ac:dyDescent="0.2">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row>
    <row r="308" spans="1:26" ht="12.75" customHeight="1" x14ac:dyDescent="0.2">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row>
    <row r="309" spans="1:26" ht="12.75" customHeight="1" x14ac:dyDescent="0.2">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row>
    <row r="310" spans="1:26" ht="12.75" customHeight="1" x14ac:dyDescent="0.2">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row>
    <row r="311" spans="1:26" ht="12.75" customHeight="1" x14ac:dyDescent="0.2">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row>
    <row r="312" spans="1:26" ht="12.75" customHeight="1" x14ac:dyDescent="0.2">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row>
    <row r="313" spans="1:26" ht="12.75" customHeight="1" x14ac:dyDescent="0.2">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row>
    <row r="314" spans="1:26" ht="12.75" customHeight="1" x14ac:dyDescent="0.2">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row>
    <row r="315" spans="1:26" ht="12.75" customHeight="1" x14ac:dyDescent="0.2">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row>
    <row r="316" spans="1:26" ht="12.75" customHeight="1" x14ac:dyDescent="0.2">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row>
    <row r="317" spans="1:26" ht="12.75" customHeight="1" x14ac:dyDescent="0.2">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row>
    <row r="318" spans="1:26" ht="12.75" customHeight="1" x14ac:dyDescent="0.2">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row>
    <row r="319" spans="1:26" ht="12.75" customHeight="1" x14ac:dyDescent="0.2">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row>
    <row r="320" spans="1:26" ht="12.75" customHeight="1" x14ac:dyDescent="0.2">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row>
    <row r="321" spans="1:26" ht="12.75" customHeight="1" x14ac:dyDescent="0.2">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row>
    <row r="322" spans="1:26" ht="12.75" customHeight="1" x14ac:dyDescent="0.2">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row>
    <row r="323" spans="1:26" ht="12.75" customHeight="1" x14ac:dyDescent="0.2">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row>
    <row r="324" spans="1:26" ht="12.75" customHeight="1" x14ac:dyDescent="0.2">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row>
    <row r="325" spans="1:26" ht="12.75" customHeight="1" x14ac:dyDescent="0.2">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row>
    <row r="326" spans="1:26" ht="12.75" customHeight="1" x14ac:dyDescent="0.2">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row>
    <row r="327" spans="1:26" ht="12.75" customHeight="1" x14ac:dyDescent="0.2">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row>
    <row r="328" spans="1:26" ht="12.75" customHeight="1" x14ac:dyDescent="0.2">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row>
    <row r="329" spans="1:26" ht="12.75" customHeight="1" x14ac:dyDescent="0.2">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row>
    <row r="330" spans="1:26" ht="12.75" customHeight="1" x14ac:dyDescent="0.2">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row>
    <row r="331" spans="1:26" ht="12.75" customHeight="1" x14ac:dyDescent="0.2">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row>
    <row r="332" spans="1:26" ht="12.75" customHeight="1" x14ac:dyDescent="0.2">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row>
    <row r="333" spans="1:26" ht="12.75" customHeight="1" x14ac:dyDescent="0.2">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row>
    <row r="334" spans="1:26" ht="12.75" customHeight="1" x14ac:dyDescent="0.2">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row>
    <row r="335" spans="1:26" ht="12.75" customHeight="1" x14ac:dyDescent="0.2">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row>
    <row r="336" spans="1:26" ht="12.75" customHeight="1" x14ac:dyDescent="0.2">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row>
    <row r="337" spans="1:26" ht="12.75" customHeight="1" x14ac:dyDescent="0.2">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row>
    <row r="338" spans="1:26" ht="12.75" customHeight="1" x14ac:dyDescent="0.2">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row>
    <row r="339" spans="1:26" ht="12.75" customHeight="1" x14ac:dyDescent="0.2">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row>
    <row r="340" spans="1:26" ht="12.75" customHeight="1" x14ac:dyDescent="0.2">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row>
    <row r="341" spans="1:26" ht="12.75" customHeight="1" x14ac:dyDescent="0.2">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row>
    <row r="342" spans="1:26" ht="12.75" customHeight="1" x14ac:dyDescent="0.2">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row>
    <row r="343" spans="1:26" ht="12.75" customHeight="1" x14ac:dyDescent="0.2">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row>
    <row r="344" spans="1:26" ht="12.75" customHeight="1" x14ac:dyDescent="0.2">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row>
    <row r="345" spans="1:26" ht="12.75" customHeight="1" x14ac:dyDescent="0.2">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row>
    <row r="346" spans="1:26" ht="12.75" customHeight="1" x14ac:dyDescent="0.2">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row>
    <row r="347" spans="1:26" ht="12.75" customHeight="1" x14ac:dyDescent="0.2">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row>
    <row r="348" spans="1:26" ht="12.75" customHeight="1" x14ac:dyDescent="0.2">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row>
    <row r="349" spans="1:26" ht="12.75" customHeight="1" x14ac:dyDescent="0.2">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row>
    <row r="350" spans="1:26" ht="12.75" customHeight="1" x14ac:dyDescent="0.2">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row>
    <row r="351" spans="1:26" ht="12.75" customHeight="1" x14ac:dyDescent="0.2">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row>
    <row r="352" spans="1:26" ht="12.75" customHeight="1" x14ac:dyDescent="0.2">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row>
    <row r="353" spans="1:26" ht="12.75" customHeight="1" x14ac:dyDescent="0.2">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row>
    <row r="354" spans="1:26" ht="12.75" customHeight="1" x14ac:dyDescent="0.2">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row>
    <row r="355" spans="1:26" ht="12.75" customHeight="1" x14ac:dyDescent="0.2">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row>
    <row r="356" spans="1:26" ht="12.75" customHeight="1" x14ac:dyDescent="0.2">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row>
    <row r="357" spans="1:26" ht="12.75" customHeight="1" x14ac:dyDescent="0.2">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row>
    <row r="358" spans="1:26" ht="12.75" customHeight="1" x14ac:dyDescent="0.2">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row>
    <row r="359" spans="1:26" ht="12.75" customHeight="1" x14ac:dyDescent="0.2">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row>
    <row r="360" spans="1:26" ht="12.75" customHeight="1" x14ac:dyDescent="0.2">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row>
    <row r="361" spans="1:26" ht="12.75" customHeight="1" x14ac:dyDescent="0.2">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row>
    <row r="362" spans="1:26" ht="12.75" customHeight="1" x14ac:dyDescent="0.2">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row>
    <row r="363" spans="1:26" ht="12.75" customHeight="1" x14ac:dyDescent="0.2">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row>
    <row r="364" spans="1:26" ht="12.75" customHeight="1" x14ac:dyDescent="0.2">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row>
    <row r="365" spans="1:26" ht="12.75" customHeight="1" x14ac:dyDescent="0.2">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row>
    <row r="366" spans="1:26" ht="12.75" customHeight="1" x14ac:dyDescent="0.2">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row>
    <row r="367" spans="1:26" ht="12.75" customHeight="1" x14ac:dyDescent="0.2">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row>
    <row r="368" spans="1:26" ht="12.75" customHeight="1" x14ac:dyDescent="0.2">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row>
    <row r="369" spans="1:26" ht="12.75" customHeight="1" x14ac:dyDescent="0.2">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row>
    <row r="370" spans="1:26" ht="12.75" customHeight="1" x14ac:dyDescent="0.2">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row>
    <row r="371" spans="1:26" ht="12.75" customHeight="1" x14ac:dyDescent="0.2">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row>
    <row r="372" spans="1:26" ht="12.75" customHeight="1" x14ac:dyDescent="0.2">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row>
    <row r="373" spans="1:26" ht="12.75" customHeight="1" x14ac:dyDescent="0.2">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row>
    <row r="374" spans="1:26" ht="12.75" customHeight="1" x14ac:dyDescent="0.2">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row>
    <row r="375" spans="1:26" ht="12.75" customHeight="1" x14ac:dyDescent="0.2">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row>
    <row r="376" spans="1:26" ht="12.75" customHeight="1" x14ac:dyDescent="0.2">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row>
    <row r="377" spans="1:26" ht="12.75" customHeight="1" x14ac:dyDescent="0.2">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row>
    <row r="378" spans="1:26" ht="12.75" customHeight="1" x14ac:dyDescent="0.2">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row>
    <row r="379" spans="1:26" ht="12.75" customHeight="1" x14ac:dyDescent="0.2">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row>
    <row r="380" spans="1:26" ht="12.75" customHeight="1" x14ac:dyDescent="0.2">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row>
    <row r="381" spans="1:26" ht="12.75" customHeight="1" x14ac:dyDescent="0.2">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row>
    <row r="382" spans="1:26" ht="12.75" customHeight="1" x14ac:dyDescent="0.2">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row>
    <row r="383" spans="1:26" ht="12.75" customHeight="1" x14ac:dyDescent="0.2">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row>
    <row r="384" spans="1:26" ht="12.75" customHeight="1" x14ac:dyDescent="0.2">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row>
    <row r="385" spans="1:26" ht="12.75" customHeight="1" x14ac:dyDescent="0.2">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row>
    <row r="386" spans="1:26" ht="12.75" customHeight="1" x14ac:dyDescent="0.2">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row>
    <row r="387" spans="1:26" ht="12.75" customHeight="1" x14ac:dyDescent="0.2">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row>
    <row r="388" spans="1:26" ht="12.75" customHeight="1" x14ac:dyDescent="0.2">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row>
    <row r="389" spans="1:26" ht="12.75" customHeight="1" x14ac:dyDescent="0.2">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row>
    <row r="390" spans="1:26" ht="12.75" customHeight="1" x14ac:dyDescent="0.2">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row>
    <row r="391" spans="1:26" ht="12.75" customHeight="1" x14ac:dyDescent="0.2">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row>
    <row r="392" spans="1:26" ht="12.75" customHeight="1" x14ac:dyDescent="0.2">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row>
    <row r="393" spans="1:26" ht="12.75" customHeight="1" x14ac:dyDescent="0.2">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row>
    <row r="394" spans="1:26" ht="12.75" customHeight="1" x14ac:dyDescent="0.2">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row>
    <row r="395" spans="1:26" ht="12.75" customHeight="1" x14ac:dyDescent="0.2">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row>
    <row r="396" spans="1:26" ht="12.75" customHeight="1" x14ac:dyDescent="0.2">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row>
    <row r="397" spans="1:26" ht="12.75" customHeight="1" x14ac:dyDescent="0.2">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row>
    <row r="398" spans="1:26" ht="12.75" customHeight="1" x14ac:dyDescent="0.2">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row>
    <row r="399" spans="1:26" ht="12.75" customHeight="1" x14ac:dyDescent="0.2">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row>
    <row r="400" spans="1:26" ht="12.75" customHeight="1" x14ac:dyDescent="0.2">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row>
    <row r="401" spans="1:26" ht="12.75" customHeight="1" x14ac:dyDescent="0.2">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row>
    <row r="402" spans="1:26" ht="12.75" customHeight="1" x14ac:dyDescent="0.2">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row>
    <row r="403" spans="1:26" ht="12.75" customHeight="1" x14ac:dyDescent="0.2">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row>
    <row r="404" spans="1:26" ht="12.75" customHeight="1" x14ac:dyDescent="0.2">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row>
    <row r="405" spans="1:26" ht="12.75" customHeight="1" x14ac:dyDescent="0.2">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row>
    <row r="406" spans="1:26" ht="12.75" customHeight="1" x14ac:dyDescent="0.2">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row>
    <row r="407" spans="1:26" ht="12.75" customHeight="1" x14ac:dyDescent="0.2">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row>
    <row r="408" spans="1:26" ht="12.75" customHeight="1" x14ac:dyDescent="0.2">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row>
    <row r="409" spans="1:26" ht="12.75" customHeight="1" x14ac:dyDescent="0.2">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row>
    <row r="410" spans="1:26" ht="12.75" customHeight="1" x14ac:dyDescent="0.2">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row>
    <row r="411" spans="1:26" ht="12.75" customHeight="1" x14ac:dyDescent="0.2">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row>
    <row r="412" spans="1:26" ht="12.75" customHeight="1" x14ac:dyDescent="0.2">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row>
    <row r="413" spans="1:26" ht="12.75" customHeight="1" x14ac:dyDescent="0.2">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row>
    <row r="414" spans="1:26" ht="12.75" customHeight="1" x14ac:dyDescent="0.2">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row>
    <row r="415" spans="1:26" ht="12.75" customHeight="1" x14ac:dyDescent="0.2">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row>
    <row r="416" spans="1:26" ht="12.75" customHeight="1" x14ac:dyDescent="0.2">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row>
    <row r="417" spans="1:26" ht="12.75" customHeight="1" x14ac:dyDescent="0.2">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row>
    <row r="418" spans="1:26" ht="12.75" customHeight="1" x14ac:dyDescent="0.2">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row>
    <row r="419" spans="1:26" ht="12.75" customHeight="1" x14ac:dyDescent="0.2">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row>
    <row r="420" spans="1:26" ht="12.75" customHeight="1" x14ac:dyDescent="0.2">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row>
    <row r="421" spans="1:26" ht="12.75" customHeight="1" x14ac:dyDescent="0.2">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row>
    <row r="422" spans="1:26" ht="12.75" customHeight="1" x14ac:dyDescent="0.2">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row>
    <row r="423" spans="1:26" ht="12.75" customHeight="1" x14ac:dyDescent="0.2">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row>
    <row r="424" spans="1:26" ht="12.75" customHeight="1" x14ac:dyDescent="0.2">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row>
    <row r="425" spans="1:26" ht="12.75" customHeight="1" x14ac:dyDescent="0.2">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row>
    <row r="426" spans="1:26" ht="12.75" customHeight="1" x14ac:dyDescent="0.2">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row>
    <row r="427" spans="1:26" ht="12.75" customHeight="1" x14ac:dyDescent="0.2">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row>
    <row r="428" spans="1:26" ht="12.75" customHeight="1" x14ac:dyDescent="0.2">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row>
    <row r="429" spans="1:26" ht="12.75" customHeight="1" x14ac:dyDescent="0.2">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row>
    <row r="430" spans="1:26" ht="12.75" customHeight="1" x14ac:dyDescent="0.2">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row>
    <row r="431" spans="1:26" ht="12.75" customHeight="1" x14ac:dyDescent="0.2">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row>
    <row r="432" spans="1:26" ht="12.75" customHeight="1" x14ac:dyDescent="0.2">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row>
    <row r="433" spans="1:26" ht="12.75" customHeight="1" x14ac:dyDescent="0.2">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row>
    <row r="434" spans="1:26" ht="12.75" customHeight="1" x14ac:dyDescent="0.2">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row>
    <row r="435" spans="1:26" ht="12.75" customHeight="1" x14ac:dyDescent="0.2">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row>
    <row r="436" spans="1:26" ht="12.75" customHeight="1" x14ac:dyDescent="0.2">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row>
    <row r="437" spans="1:26" ht="12.75" customHeight="1" x14ac:dyDescent="0.2">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row>
    <row r="438" spans="1:26" ht="12.75" customHeight="1" x14ac:dyDescent="0.2">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row>
    <row r="439" spans="1:26" ht="12.75" customHeight="1" x14ac:dyDescent="0.2">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row>
    <row r="440" spans="1:26" ht="12.75" customHeight="1" x14ac:dyDescent="0.2">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row>
    <row r="441" spans="1:26" ht="12.75" customHeight="1" x14ac:dyDescent="0.2">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row>
    <row r="442" spans="1:26" ht="12.75" customHeight="1" x14ac:dyDescent="0.2">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row>
    <row r="443" spans="1:26" ht="12.75" customHeight="1" x14ac:dyDescent="0.2">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row>
    <row r="444" spans="1:26" ht="12.75" customHeight="1" x14ac:dyDescent="0.2">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row>
    <row r="445" spans="1:26" ht="12.75" customHeight="1" x14ac:dyDescent="0.2">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row>
    <row r="446" spans="1:26" ht="12.75" customHeight="1" x14ac:dyDescent="0.2">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row>
    <row r="447" spans="1:26" ht="12.75" customHeight="1" x14ac:dyDescent="0.2">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row>
    <row r="448" spans="1:26" ht="12.75" customHeight="1" x14ac:dyDescent="0.2">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row>
    <row r="449" spans="1:26" ht="12.75" customHeight="1" x14ac:dyDescent="0.2">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row>
    <row r="450" spans="1:26" ht="12.75" customHeight="1" x14ac:dyDescent="0.2">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row>
    <row r="451" spans="1:26" ht="12.75" customHeight="1" x14ac:dyDescent="0.2">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row>
    <row r="452" spans="1:26" ht="12.75" customHeight="1" x14ac:dyDescent="0.2">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row>
    <row r="453" spans="1:26" ht="12.75" customHeight="1" x14ac:dyDescent="0.2">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row>
    <row r="454" spans="1:26" ht="12.75" customHeight="1" x14ac:dyDescent="0.2">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row>
    <row r="455" spans="1:26" ht="12.75" customHeight="1" x14ac:dyDescent="0.2">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row>
    <row r="456" spans="1:26" ht="12.75" customHeight="1" x14ac:dyDescent="0.2">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row>
    <row r="457" spans="1:26" ht="12.75" customHeight="1" x14ac:dyDescent="0.2">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row>
    <row r="458" spans="1:26" ht="12.75" customHeight="1" x14ac:dyDescent="0.2">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row>
    <row r="459" spans="1:26" ht="12.75" customHeight="1" x14ac:dyDescent="0.2">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row>
    <row r="460" spans="1:26" ht="12.75" customHeight="1" x14ac:dyDescent="0.2">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row>
    <row r="461" spans="1:26" ht="12.75" customHeight="1" x14ac:dyDescent="0.2">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row>
    <row r="462" spans="1:26" ht="12.75" customHeight="1" x14ac:dyDescent="0.2">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row>
    <row r="463" spans="1:26" ht="12.75" customHeight="1" x14ac:dyDescent="0.2">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row>
    <row r="464" spans="1:26" ht="12.75" customHeight="1" x14ac:dyDescent="0.2">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row>
    <row r="465" spans="1:26" ht="12.75" customHeight="1" x14ac:dyDescent="0.2">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row>
    <row r="466" spans="1:26" ht="12.75" customHeight="1" x14ac:dyDescent="0.2">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row>
    <row r="467" spans="1:26" ht="12.75" customHeight="1" x14ac:dyDescent="0.2">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row>
    <row r="468" spans="1:26" ht="12.75" customHeight="1" x14ac:dyDescent="0.2">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row>
    <row r="469" spans="1:26" ht="12.75" customHeight="1" x14ac:dyDescent="0.2">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row>
    <row r="470" spans="1:26" ht="12.75" customHeight="1" x14ac:dyDescent="0.2">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row>
    <row r="471" spans="1:26" ht="12.75" customHeight="1" x14ac:dyDescent="0.2">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row>
    <row r="472" spans="1:26" ht="12.75" customHeight="1" x14ac:dyDescent="0.2">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row>
    <row r="473" spans="1:26" ht="12.75" customHeight="1" x14ac:dyDescent="0.2">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row>
    <row r="474" spans="1:26" ht="12.75" customHeight="1" x14ac:dyDescent="0.2">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row>
    <row r="475" spans="1:26" ht="12.75" customHeight="1" x14ac:dyDescent="0.2">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row>
    <row r="476" spans="1:26" ht="12.75" customHeight="1" x14ac:dyDescent="0.2">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row>
    <row r="477" spans="1:26" ht="12.75" customHeight="1" x14ac:dyDescent="0.2">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row>
    <row r="478" spans="1:26" ht="12.75" customHeight="1" x14ac:dyDescent="0.2">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row>
    <row r="479" spans="1:26" ht="12.75" customHeight="1" x14ac:dyDescent="0.2">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row>
    <row r="480" spans="1:26" ht="12.75" customHeight="1" x14ac:dyDescent="0.2">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row>
    <row r="481" spans="1:26" ht="12.75" customHeight="1" x14ac:dyDescent="0.2">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row>
    <row r="482" spans="1:26" ht="12.75" customHeight="1" x14ac:dyDescent="0.2">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row>
    <row r="483" spans="1:26" ht="12.75" customHeight="1" x14ac:dyDescent="0.2">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row>
    <row r="484" spans="1:26" ht="12.75" customHeight="1" x14ac:dyDescent="0.2">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row>
    <row r="485" spans="1:26" ht="12.75" customHeight="1" x14ac:dyDescent="0.2">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row>
    <row r="486" spans="1:26" ht="12.75" customHeight="1" x14ac:dyDescent="0.2">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row>
    <row r="487" spans="1:26" ht="12.75" customHeight="1" x14ac:dyDescent="0.2">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row>
    <row r="488" spans="1:26" ht="12.75" customHeight="1" x14ac:dyDescent="0.2">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row>
    <row r="489" spans="1:26" ht="12.75" customHeight="1" x14ac:dyDescent="0.2">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row>
    <row r="490" spans="1:26" ht="12.75" customHeight="1" x14ac:dyDescent="0.2">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row>
    <row r="491" spans="1:26" ht="12.75" customHeight="1" x14ac:dyDescent="0.2">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row>
    <row r="492" spans="1:26" ht="12.75" customHeight="1" x14ac:dyDescent="0.2">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row>
    <row r="493" spans="1:26" ht="12.75" customHeight="1" x14ac:dyDescent="0.2">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row>
    <row r="494" spans="1:26" ht="12.75" customHeight="1" x14ac:dyDescent="0.2">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row>
    <row r="495" spans="1:26" ht="12.75" customHeight="1" x14ac:dyDescent="0.2">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row>
    <row r="496" spans="1:26" ht="12.75" customHeight="1" x14ac:dyDescent="0.2">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row>
    <row r="497" spans="1:26" ht="12.75" customHeight="1" x14ac:dyDescent="0.2">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row>
    <row r="498" spans="1:26" ht="12.75" customHeight="1" x14ac:dyDescent="0.2">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row>
    <row r="499" spans="1:26" ht="12.75" customHeight="1" x14ac:dyDescent="0.2">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row>
    <row r="500" spans="1:26" ht="12.75" customHeight="1" x14ac:dyDescent="0.2">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row>
    <row r="501" spans="1:26" ht="12.75" customHeight="1" x14ac:dyDescent="0.2">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row>
    <row r="502" spans="1:26" ht="12.75" customHeight="1" x14ac:dyDescent="0.2">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row>
    <row r="503" spans="1:26" ht="12.75" customHeight="1" x14ac:dyDescent="0.2">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row>
    <row r="504" spans="1:26" ht="12.75" customHeight="1" x14ac:dyDescent="0.2">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row>
    <row r="505" spans="1:26" ht="12.75" customHeight="1" x14ac:dyDescent="0.2">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row>
    <row r="506" spans="1:26" ht="12.75" customHeight="1" x14ac:dyDescent="0.2">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row>
    <row r="507" spans="1:26" ht="12.75" customHeight="1" x14ac:dyDescent="0.2">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row>
    <row r="508" spans="1:26" ht="12.75" customHeight="1" x14ac:dyDescent="0.2">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row>
    <row r="509" spans="1:26" ht="12.75" customHeight="1" x14ac:dyDescent="0.2">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row>
    <row r="510" spans="1:26" ht="12.75" customHeight="1" x14ac:dyDescent="0.2">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row>
    <row r="511" spans="1:26" ht="12.75" customHeight="1" x14ac:dyDescent="0.2">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row>
    <row r="512" spans="1:26" ht="12.75" customHeight="1" x14ac:dyDescent="0.2">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row>
    <row r="513" spans="1:26" ht="12.75" customHeight="1" x14ac:dyDescent="0.2">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row>
    <row r="514" spans="1:26" ht="12.75" customHeight="1" x14ac:dyDescent="0.2">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row>
    <row r="515" spans="1:26" ht="12.75" customHeight="1" x14ac:dyDescent="0.2">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row>
    <row r="516" spans="1:26" ht="12.75" customHeight="1" x14ac:dyDescent="0.2">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row>
    <row r="517" spans="1:26" ht="12.75" customHeight="1" x14ac:dyDescent="0.2">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row>
    <row r="518" spans="1:26" ht="12.75" customHeight="1" x14ac:dyDescent="0.2">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row>
    <row r="519" spans="1:26" ht="12.75" customHeight="1" x14ac:dyDescent="0.2">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row>
    <row r="520" spans="1:26" ht="12.75" customHeight="1" x14ac:dyDescent="0.2">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row>
    <row r="521" spans="1:26" ht="12.75" customHeight="1" x14ac:dyDescent="0.2">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row>
    <row r="522" spans="1:26" ht="12.75" customHeight="1" x14ac:dyDescent="0.2">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row>
    <row r="523" spans="1:26" ht="12.75" customHeight="1" x14ac:dyDescent="0.2">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row>
    <row r="524" spans="1:26" ht="12.75" customHeight="1" x14ac:dyDescent="0.2">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row>
    <row r="525" spans="1:26" ht="12.75" customHeight="1" x14ac:dyDescent="0.2">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row>
    <row r="526" spans="1:26" ht="12.75" customHeight="1" x14ac:dyDescent="0.2">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row>
    <row r="527" spans="1:26" ht="12.75" customHeight="1" x14ac:dyDescent="0.2">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row>
    <row r="528" spans="1:26" ht="12.75" customHeight="1" x14ac:dyDescent="0.2">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row>
    <row r="529" spans="1:26" ht="12.75" customHeight="1" x14ac:dyDescent="0.2">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row>
    <row r="530" spans="1:26" ht="12.75" customHeight="1" x14ac:dyDescent="0.2">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row>
    <row r="531" spans="1:26" ht="12.75" customHeight="1" x14ac:dyDescent="0.2">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row>
    <row r="532" spans="1:26" ht="12.75" customHeight="1" x14ac:dyDescent="0.2">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row>
    <row r="533" spans="1:26" ht="12.75" customHeight="1" x14ac:dyDescent="0.2">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row>
    <row r="534" spans="1:26" ht="12.75" customHeight="1" x14ac:dyDescent="0.2">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row>
    <row r="535" spans="1:26" ht="12.75" customHeight="1" x14ac:dyDescent="0.2">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row>
    <row r="536" spans="1:26" ht="12.75" customHeight="1" x14ac:dyDescent="0.2">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row>
    <row r="537" spans="1:26" ht="12.75" customHeight="1" x14ac:dyDescent="0.2">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row>
    <row r="538" spans="1:26" ht="12.75" customHeight="1" x14ac:dyDescent="0.2">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row>
    <row r="539" spans="1:26" ht="12.75" customHeight="1" x14ac:dyDescent="0.2">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row>
    <row r="540" spans="1:26" ht="12.75" customHeight="1" x14ac:dyDescent="0.2">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row>
    <row r="541" spans="1:26" ht="12.75" customHeight="1" x14ac:dyDescent="0.2">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row>
    <row r="542" spans="1:26" ht="12.75" customHeight="1" x14ac:dyDescent="0.2">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row>
    <row r="543" spans="1:26" ht="12.75" customHeight="1" x14ac:dyDescent="0.2">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row>
    <row r="544" spans="1:26" ht="12.75" customHeight="1" x14ac:dyDescent="0.2">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row>
    <row r="545" spans="1:26" ht="12.75" customHeight="1" x14ac:dyDescent="0.2">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row>
    <row r="546" spans="1:26" ht="12.75" customHeight="1" x14ac:dyDescent="0.2">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row>
    <row r="547" spans="1:26" ht="12.75" customHeight="1" x14ac:dyDescent="0.2">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row>
    <row r="548" spans="1:26" ht="12.75" customHeight="1" x14ac:dyDescent="0.2">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row>
    <row r="549" spans="1:26" ht="12.75" customHeight="1" x14ac:dyDescent="0.2">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row>
    <row r="550" spans="1:26" ht="12.75" customHeight="1" x14ac:dyDescent="0.2">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row>
    <row r="551" spans="1:26" ht="12.75" customHeight="1" x14ac:dyDescent="0.2">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row>
    <row r="552" spans="1:26" ht="12.75" customHeight="1" x14ac:dyDescent="0.2">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row>
    <row r="553" spans="1:26" ht="12.75" customHeight="1" x14ac:dyDescent="0.2">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row>
    <row r="554" spans="1:26" ht="12.75" customHeight="1" x14ac:dyDescent="0.2">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row>
    <row r="555" spans="1:26" ht="12.75" customHeight="1" x14ac:dyDescent="0.2">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row>
    <row r="556" spans="1:26" ht="12.75" customHeight="1" x14ac:dyDescent="0.2">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row>
    <row r="557" spans="1:26" ht="12.75" customHeight="1" x14ac:dyDescent="0.2">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row>
    <row r="558" spans="1:26" ht="12.75" customHeight="1" x14ac:dyDescent="0.2">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row>
    <row r="559" spans="1:26" ht="12.75" customHeight="1" x14ac:dyDescent="0.2">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row>
    <row r="560" spans="1:26" ht="12.75" customHeight="1" x14ac:dyDescent="0.2">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row>
    <row r="561" spans="1:26" ht="12.75" customHeight="1" x14ac:dyDescent="0.2">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row>
    <row r="562" spans="1:26" ht="12.75" customHeight="1" x14ac:dyDescent="0.2">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row>
    <row r="563" spans="1:26" ht="12.75" customHeight="1" x14ac:dyDescent="0.2">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row>
    <row r="564" spans="1:26" ht="12.75" customHeight="1" x14ac:dyDescent="0.2">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row>
    <row r="565" spans="1:26" ht="12.75" customHeight="1" x14ac:dyDescent="0.2">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row>
    <row r="566" spans="1:26" ht="12.75" customHeight="1" x14ac:dyDescent="0.2">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row>
    <row r="567" spans="1:26" ht="12.75" customHeight="1" x14ac:dyDescent="0.2">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row>
    <row r="568" spans="1:26" ht="12.75" customHeight="1" x14ac:dyDescent="0.2">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row>
    <row r="569" spans="1:26" ht="12.75" customHeight="1" x14ac:dyDescent="0.2">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row>
    <row r="570" spans="1:26" ht="12.75" customHeight="1" x14ac:dyDescent="0.2">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row>
    <row r="571" spans="1:26" ht="12.75" customHeight="1" x14ac:dyDescent="0.2">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row>
    <row r="572" spans="1:26" ht="12.75" customHeight="1" x14ac:dyDescent="0.2">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row>
    <row r="573" spans="1:26" ht="12.75" customHeight="1" x14ac:dyDescent="0.2">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row>
    <row r="574" spans="1:26" ht="12.75" customHeight="1" x14ac:dyDescent="0.2">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row>
    <row r="575" spans="1:26" ht="12.75" customHeight="1" x14ac:dyDescent="0.2">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row>
    <row r="576" spans="1:26" ht="12.75" customHeight="1" x14ac:dyDescent="0.2">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row>
    <row r="577" spans="1:26" ht="12.75" customHeight="1" x14ac:dyDescent="0.2">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row>
    <row r="578" spans="1:26" ht="12.75" customHeight="1" x14ac:dyDescent="0.2">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row>
    <row r="579" spans="1:26" ht="12.75" customHeight="1" x14ac:dyDescent="0.2">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row>
    <row r="580" spans="1:26" ht="12.75" customHeight="1" x14ac:dyDescent="0.2">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row>
    <row r="581" spans="1:26" ht="12.75" customHeight="1" x14ac:dyDescent="0.2">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row>
    <row r="582" spans="1:26" ht="12.75" customHeight="1" x14ac:dyDescent="0.2">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row>
    <row r="583" spans="1:26" ht="12.75" customHeight="1" x14ac:dyDescent="0.2">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row>
    <row r="584" spans="1:26" ht="12.75" customHeight="1" x14ac:dyDescent="0.2">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row>
    <row r="585" spans="1:26" ht="12.75" customHeight="1" x14ac:dyDescent="0.2">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row>
    <row r="586" spans="1:26" ht="12.75" customHeight="1" x14ac:dyDescent="0.2">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row>
    <row r="587" spans="1:26" ht="12.75" customHeight="1" x14ac:dyDescent="0.2">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row>
    <row r="588" spans="1:26" ht="12.75" customHeight="1" x14ac:dyDescent="0.2">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row>
    <row r="589" spans="1:26" ht="12.75" customHeight="1" x14ac:dyDescent="0.2">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row>
    <row r="590" spans="1:26" ht="12.75" customHeight="1" x14ac:dyDescent="0.2">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row>
    <row r="591" spans="1:26" ht="12.75" customHeight="1" x14ac:dyDescent="0.2">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row>
    <row r="592" spans="1:26" ht="12.75" customHeight="1" x14ac:dyDescent="0.2">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row>
    <row r="593" spans="1:26" ht="12.75" customHeight="1" x14ac:dyDescent="0.2">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row>
    <row r="594" spans="1:26" ht="12.75" customHeight="1" x14ac:dyDescent="0.2">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row>
    <row r="595" spans="1:26" ht="12.75" customHeight="1" x14ac:dyDescent="0.2">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row>
    <row r="596" spans="1:26" ht="12.75" customHeight="1" x14ac:dyDescent="0.2">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row>
    <row r="597" spans="1:26" ht="12.75" customHeight="1" x14ac:dyDescent="0.2">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row>
    <row r="598" spans="1:26" ht="12.75" customHeight="1" x14ac:dyDescent="0.2">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row>
    <row r="599" spans="1:26" ht="12.75" customHeight="1" x14ac:dyDescent="0.2">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row>
    <row r="600" spans="1:26" ht="12.75" customHeight="1" x14ac:dyDescent="0.2">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row>
    <row r="601" spans="1:26" ht="12.75" customHeight="1" x14ac:dyDescent="0.2">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row>
    <row r="602" spans="1:26" ht="12.75" customHeight="1" x14ac:dyDescent="0.2">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row>
    <row r="603" spans="1:26" ht="12.75" customHeight="1" x14ac:dyDescent="0.2">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row>
    <row r="604" spans="1:26" ht="12.75" customHeight="1" x14ac:dyDescent="0.2">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row>
    <row r="605" spans="1:26" ht="12.75" customHeight="1" x14ac:dyDescent="0.2">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row>
    <row r="606" spans="1:26" ht="12.75" customHeight="1" x14ac:dyDescent="0.2">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row>
    <row r="607" spans="1:26" ht="12.75" customHeight="1" x14ac:dyDescent="0.2">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row>
    <row r="608" spans="1:26" ht="12.75" customHeight="1" x14ac:dyDescent="0.2">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row>
    <row r="609" spans="1:26" ht="12.75" customHeight="1" x14ac:dyDescent="0.2">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row>
    <row r="610" spans="1:26" ht="12.75" customHeight="1" x14ac:dyDescent="0.2">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row>
    <row r="611" spans="1:26" ht="12.75" customHeight="1" x14ac:dyDescent="0.2">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row>
    <row r="612" spans="1:26" ht="12.75" customHeight="1" x14ac:dyDescent="0.2">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row>
    <row r="613" spans="1:26" ht="12.75" customHeight="1" x14ac:dyDescent="0.2">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row>
    <row r="614" spans="1:26" ht="12.75" customHeight="1" x14ac:dyDescent="0.2">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row>
    <row r="615" spans="1:26" ht="12.75" customHeight="1" x14ac:dyDescent="0.2">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row>
    <row r="616" spans="1:26" ht="12.75" customHeight="1" x14ac:dyDescent="0.2">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row>
    <row r="617" spans="1:26" ht="12.75" customHeight="1" x14ac:dyDescent="0.2">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row>
    <row r="618" spans="1:26" ht="12.75" customHeight="1" x14ac:dyDescent="0.2">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row>
    <row r="619" spans="1:26" ht="12.75" customHeight="1" x14ac:dyDescent="0.2">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row>
    <row r="620" spans="1:26" ht="12.75" customHeight="1" x14ac:dyDescent="0.2">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row>
    <row r="621" spans="1:26" ht="12.75" customHeight="1" x14ac:dyDescent="0.2">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row>
    <row r="622" spans="1:26" ht="12.75" customHeight="1" x14ac:dyDescent="0.2">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row>
    <row r="623" spans="1:26" ht="12.75" customHeight="1" x14ac:dyDescent="0.2">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row>
    <row r="624" spans="1:26" ht="12.75" customHeight="1" x14ac:dyDescent="0.2">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row>
    <row r="625" spans="1:26" ht="12.75" customHeight="1" x14ac:dyDescent="0.2">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row>
    <row r="626" spans="1:26" ht="12.75" customHeight="1" x14ac:dyDescent="0.2">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row>
    <row r="627" spans="1:26" ht="12.75" customHeight="1" x14ac:dyDescent="0.2">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row>
    <row r="628" spans="1:26" ht="12.75" customHeight="1" x14ac:dyDescent="0.2">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row>
    <row r="629" spans="1:26" ht="12.75" customHeight="1" x14ac:dyDescent="0.2">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row>
    <row r="630" spans="1:26" ht="12.75" customHeight="1" x14ac:dyDescent="0.2">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row>
    <row r="631" spans="1:26" ht="12.75" customHeight="1" x14ac:dyDescent="0.2">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row>
    <row r="632" spans="1:26" ht="12.75" customHeight="1" x14ac:dyDescent="0.2">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row>
    <row r="633" spans="1:26" ht="12.75" customHeight="1" x14ac:dyDescent="0.2">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row>
    <row r="634" spans="1:26" ht="12.75" customHeight="1" x14ac:dyDescent="0.2">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row>
    <row r="635" spans="1:26" ht="12.75" customHeight="1" x14ac:dyDescent="0.2">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row>
    <row r="636" spans="1:26" ht="12.75" customHeight="1" x14ac:dyDescent="0.2">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row>
    <row r="637" spans="1:26" ht="12.75" customHeight="1" x14ac:dyDescent="0.2">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row>
    <row r="638" spans="1:26" ht="12.75" customHeight="1" x14ac:dyDescent="0.2">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row>
    <row r="639" spans="1:26" ht="12.75" customHeight="1" x14ac:dyDescent="0.2">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row>
    <row r="640" spans="1:26" ht="12.75" customHeight="1" x14ac:dyDescent="0.2">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row>
    <row r="641" spans="1:26" ht="12.75" customHeight="1" x14ac:dyDescent="0.2">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row>
    <row r="642" spans="1:26" ht="12.75" customHeight="1" x14ac:dyDescent="0.2">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row>
    <row r="643" spans="1:26" ht="12.75" customHeight="1" x14ac:dyDescent="0.2">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row>
    <row r="644" spans="1:26" ht="12.75" customHeight="1" x14ac:dyDescent="0.2">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row>
    <row r="645" spans="1:26" ht="12.75" customHeight="1" x14ac:dyDescent="0.2">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row>
    <row r="646" spans="1:26" ht="12.75" customHeight="1" x14ac:dyDescent="0.2">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row>
    <row r="647" spans="1:26" ht="12.75" customHeight="1" x14ac:dyDescent="0.2">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row>
    <row r="648" spans="1:26" ht="12.75" customHeight="1" x14ac:dyDescent="0.2">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row>
    <row r="649" spans="1:26" ht="12.75" customHeight="1" x14ac:dyDescent="0.2">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row>
    <row r="650" spans="1:26" ht="12.75" customHeight="1" x14ac:dyDescent="0.2">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row>
    <row r="651" spans="1:26" ht="12.75" customHeight="1" x14ac:dyDescent="0.2">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row>
    <row r="652" spans="1:26" ht="12.75" customHeight="1" x14ac:dyDescent="0.2">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row>
    <row r="653" spans="1:26" ht="12.75" customHeight="1" x14ac:dyDescent="0.2">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row>
    <row r="654" spans="1:26" ht="12.75" customHeight="1" x14ac:dyDescent="0.2">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row>
    <row r="655" spans="1:26" ht="12.75" customHeight="1" x14ac:dyDescent="0.2">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row>
    <row r="656" spans="1:26" ht="12.75" customHeight="1" x14ac:dyDescent="0.2">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row>
    <row r="657" spans="1:26" ht="12.75" customHeight="1" x14ac:dyDescent="0.2">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row>
    <row r="658" spans="1:26" ht="12.75" customHeight="1" x14ac:dyDescent="0.2">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row>
    <row r="659" spans="1:26" ht="12.75" customHeight="1" x14ac:dyDescent="0.2">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row>
    <row r="660" spans="1:26" ht="12.75" customHeight="1" x14ac:dyDescent="0.2">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row>
    <row r="661" spans="1:26" ht="12.75" customHeight="1" x14ac:dyDescent="0.2">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row>
    <row r="662" spans="1:26" ht="12.75" customHeight="1" x14ac:dyDescent="0.2">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row>
    <row r="663" spans="1:26" ht="12.75" customHeight="1" x14ac:dyDescent="0.2">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row>
    <row r="664" spans="1:26" ht="12.75" customHeight="1" x14ac:dyDescent="0.2">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row>
    <row r="665" spans="1:26" ht="12.75" customHeight="1" x14ac:dyDescent="0.2">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row>
    <row r="666" spans="1:26" ht="12.75" customHeight="1" x14ac:dyDescent="0.2">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row>
    <row r="667" spans="1:26" ht="12.75" customHeight="1" x14ac:dyDescent="0.2">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row>
    <row r="668" spans="1:26" ht="12.75" customHeight="1" x14ac:dyDescent="0.2">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row>
    <row r="669" spans="1:26" ht="12.75" customHeight="1" x14ac:dyDescent="0.2">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row>
    <row r="670" spans="1:26" ht="12.75" customHeight="1" x14ac:dyDescent="0.2">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row>
    <row r="671" spans="1:26" ht="12.75" customHeight="1" x14ac:dyDescent="0.2">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row>
    <row r="672" spans="1:26" ht="12.75" customHeight="1" x14ac:dyDescent="0.2">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row>
    <row r="673" spans="1:26" ht="12.75" customHeight="1" x14ac:dyDescent="0.2">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row>
    <row r="674" spans="1:26" ht="12.75" customHeight="1" x14ac:dyDescent="0.2">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row>
    <row r="675" spans="1:26" ht="12.75" customHeight="1" x14ac:dyDescent="0.2">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row>
    <row r="676" spans="1:26" ht="12.75" customHeight="1" x14ac:dyDescent="0.2">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row>
    <row r="677" spans="1:26" ht="12.75" customHeight="1" x14ac:dyDescent="0.2">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row>
    <row r="678" spans="1:26" ht="12.75" customHeight="1" x14ac:dyDescent="0.2">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row>
    <row r="679" spans="1:26" ht="12.75" customHeight="1" x14ac:dyDescent="0.2">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row>
    <row r="680" spans="1:26" ht="12.75" customHeight="1" x14ac:dyDescent="0.2">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row>
    <row r="681" spans="1:26" ht="12.75" customHeight="1" x14ac:dyDescent="0.2">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row>
    <row r="682" spans="1:26" ht="12.75" customHeight="1" x14ac:dyDescent="0.2">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row>
    <row r="683" spans="1:26" ht="12.75" customHeight="1" x14ac:dyDescent="0.2">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row>
    <row r="684" spans="1:26" ht="12.75" customHeight="1" x14ac:dyDescent="0.2">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row>
    <row r="685" spans="1:26" ht="12.75" customHeight="1" x14ac:dyDescent="0.2">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row>
    <row r="686" spans="1:26" ht="12.75" customHeight="1" x14ac:dyDescent="0.2">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row>
    <row r="687" spans="1:26" ht="12.75" customHeight="1" x14ac:dyDescent="0.2">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row>
    <row r="688" spans="1:26" ht="12.75" customHeight="1" x14ac:dyDescent="0.2">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row>
    <row r="689" spans="1:26" ht="12.75" customHeight="1" x14ac:dyDescent="0.2">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row>
    <row r="690" spans="1:26" ht="12.75" customHeight="1" x14ac:dyDescent="0.2">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row>
    <row r="691" spans="1:26" ht="12.75" customHeight="1" x14ac:dyDescent="0.2">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row>
    <row r="692" spans="1:26" ht="12.75" customHeight="1" x14ac:dyDescent="0.2">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row>
    <row r="693" spans="1:26" ht="12.75" customHeight="1" x14ac:dyDescent="0.2">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row>
    <row r="694" spans="1:26" ht="12.75" customHeight="1" x14ac:dyDescent="0.2">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row>
    <row r="695" spans="1:26" ht="12.75" customHeight="1" x14ac:dyDescent="0.2">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row>
    <row r="696" spans="1:26" ht="12.75" customHeight="1" x14ac:dyDescent="0.2">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row>
    <row r="697" spans="1:26" ht="12.75" customHeight="1" x14ac:dyDescent="0.2">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row>
    <row r="698" spans="1:26" ht="12.75" customHeight="1" x14ac:dyDescent="0.2">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row>
    <row r="699" spans="1:26" ht="12.75" customHeight="1" x14ac:dyDescent="0.2">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row>
    <row r="700" spans="1:26" ht="12.75" customHeight="1" x14ac:dyDescent="0.2">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row>
    <row r="701" spans="1:26" ht="12.75" customHeight="1" x14ac:dyDescent="0.2">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row>
    <row r="702" spans="1:26" ht="12.75" customHeight="1" x14ac:dyDescent="0.2">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row>
    <row r="703" spans="1:26" ht="12.75" customHeight="1" x14ac:dyDescent="0.2">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row>
    <row r="704" spans="1:26" ht="12.75" customHeight="1" x14ac:dyDescent="0.2">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row>
    <row r="705" spans="1:26" ht="12.75" customHeight="1" x14ac:dyDescent="0.2">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row>
    <row r="706" spans="1:26" ht="12.75" customHeight="1" x14ac:dyDescent="0.2">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row>
    <row r="707" spans="1:26" ht="12.75" customHeight="1" x14ac:dyDescent="0.2">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row>
    <row r="708" spans="1:26" ht="12.75" customHeight="1" x14ac:dyDescent="0.2">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row>
    <row r="709" spans="1:26" ht="12.75" customHeight="1" x14ac:dyDescent="0.2">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row>
    <row r="710" spans="1:26" ht="12.75" customHeight="1" x14ac:dyDescent="0.2">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row>
    <row r="711" spans="1:26" ht="12.75" customHeight="1" x14ac:dyDescent="0.2">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row>
    <row r="712" spans="1:26" ht="12.75" customHeight="1" x14ac:dyDescent="0.2">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row>
    <row r="713" spans="1:26" ht="12.75" customHeight="1" x14ac:dyDescent="0.2">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row>
    <row r="714" spans="1:26" ht="12.75" customHeight="1" x14ac:dyDescent="0.2">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row>
    <row r="715" spans="1:26" ht="12.75" customHeight="1" x14ac:dyDescent="0.2">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row>
    <row r="716" spans="1:26" ht="12.75" customHeight="1" x14ac:dyDescent="0.2">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row>
    <row r="717" spans="1:26" ht="12.75" customHeight="1" x14ac:dyDescent="0.2">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row>
    <row r="718" spans="1:26" ht="12.75" customHeight="1" x14ac:dyDescent="0.2">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row>
    <row r="719" spans="1:26" ht="12.75" customHeight="1" x14ac:dyDescent="0.2">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row>
    <row r="720" spans="1:26" ht="12.75" customHeight="1" x14ac:dyDescent="0.2">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row>
    <row r="721" spans="1:26" ht="12.75" customHeight="1" x14ac:dyDescent="0.2">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row>
    <row r="722" spans="1:26" ht="12.75" customHeight="1" x14ac:dyDescent="0.2">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row>
    <row r="723" spans="1:26" ht="12.75" customHeight="1" x14ac:dyDescent="0.2">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row>
    <row r="724" spans="1:26" ht="12.75" customHeight="1" x14ac:dyDescent="0.2">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row>
    <row r="725" spans="1:26" ht="12.75" customHeight="1" x14ac:dyDescent="0.2">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row>
    <row r="726" spans="1:26" ht="12.75" customHeight="1" x14ac:dyDescent="0.2">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row>
    <row r="727" spans="1:26" ht="12.75" customHeight="1" x14ac:dyDescent="0.2">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row>
    <row r="728" spans="1:26" ht="12.75" customHeight="1" x14ac:dyDescent="0.2">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row>
    <row r="729" spans="1:26" ht="12.75" customHeight="1" x14ac:dyDescent="0.2">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row>
    <row r="730" spans="1:26" ht="12.75" customHeight="1" x14ac:dyDescent="0.2">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row>
    <row r="731" spans="1:26" ht="12.75" customHeight="1" x14ac:dyDescent="0.2">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row>
    <row r="732" spans="1:26" ht="12.75" customHeight="1" x14ac:dyDescent="0.2">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row>
    <row r="733" spans="1:26" ht="12.75" customHeight="1" x14ac:dyDescent="0.2">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row>
    <row r="734" spans="1:26" ht="12.75" customHeight="1" x14ac:dyDescent="0.2">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row>
    <row r="735" spans="1:26" ht="12.75" customHeight="1" x14ac:dyDescent="0.2">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row>
    <row r="736" spans="1:26" ht="12.75" customHeight="1" x14ac:dyDescent="0.2">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row>
    <row r="737" spans="1:26" ht="12.75" customHeight="1" x14ac:dyDescent="0.2">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row>
    <row r="738" spans="1:26" ht="12.75" customHeight="1" x14ac:dyDescent="0.2">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row>
    <row r="739" spans="1:26" ht="12.75" customHeight="1" x14ac:dyDescent="0.2">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row>
    <row r="740" spans="1:26" ht="12.75" customHeight="1" x14ac:dyDescent="0.2">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row>
    <row r="741" spans="1:26" ht="12.75" customHeight="1" x14ac:dyDescent="0.2">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row>
    <row r="742" spans="1:26" ht="12.75" customHeight="1" x14ac:dyDescent="0.2">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row>
    <row r="743" spans="1:26" ht="12.75" customHeight="1" x14ac:dyDescent="0.2">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row>
    <row r="744" spans="1:26" ht="12.75" customHeight="1" x14ac:dyDescent="0.2">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row>
    <row r="745" spans="1:26" ht="12.75" customHeight="1" x14ac:dyDescent="0.2">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row>
    <row r="746" spans="1:26" ht="12.75" customHeight="1" x14ac:dyDescent="0.2">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row>
    <row r="747" spans="1:26" ht="12.75" customHeight="1" x14ac:dyDescent="0.2">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row>
    <row r="748" spans="1:26" ht="12.75" customHeight="1" x14ac:dyDescent="0.2">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row>
    <row r="749" spans="1:26" ht="12.75" customHeight="1" x14ac:dyDescent="0.2">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row>
    <row r="750" spans="1:26" ht="12.75" customHeight="1" x14ac:dyDescent="0.2">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row>
    <row r="751" spans="1:26" ht="12.75" customHeight="1" x14ac:dyDescent="0.2">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row>
    <row r="752" spans="1:26" ht="12.75" customHeight="1" x14ac:dyDescent="0.2">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row>
    <row r="753" spans="1:26" ht="12.75" customHeight="1" x14ac:dyDescent="0.2">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row>
    <row r="754" spans="1:26" ht="12.75" customHeight="1" x14ac:dyDescent="0.2">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row>
    <row r="755" spans="1:26" ht="12.75" customHeight="1" x14ac:dyDescent="0.2">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row>
    <row r="756" spans="1:26" ht="12.75" customHeight="1" x14ac:dyDescent="0.2">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row>
    <row r="757" spans="1:26" ht="12.75" customHeight="1" x14ac:dyDescent="0.2">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row>
    <row r="758" spans="1:26" ht="12.75" customHeight="1" x14ac:dyDescent="0.2">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row>
    <row r="759" spans="1:26" ht="12.75" customHeight="1" x14ac:dyDescent="0.2">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row>
    <row r="760" spans="1:26" ht="12.75" customHeight="1" x14ac:dyDescent="0.2">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row>
    <row r="761" spans="1:26" ht="12.75" customHeight="1" x14ac:dyDescent="0.2">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row>
    <row r="762" spans="1:26" ht="12.75" customHeight="1" x14ac:dyDescent="0.2">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row>
    <row r="763" spans="1:26" ht="12.75" customHeight="1" x14ac:dyDescent="0.2">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row>
    <row r="764" spans="1:26" ht="12.75" customHeight="1" x14ac:dyDescent="0.2">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row>
    <row r="765" spans="1:26" ht="12.75" customHeight="1" x14ac:dyDescent="0.2">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row>
    <row r="766" spans="1:26" ht="12.75" customHeight="1" x14ac:dyDescent="0.2">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row>
    <row r="767" spans="1:26" ht="12.75" customHeight="1" x14ac:dyDescent="0.2">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row>
    <row r="768" spans="1:26" ht="12.75" customHeight="1" x14ac:dyDescent="0.2">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row>
    <row r="769" spans="1:26" ht="12.75" customHeight="1" x14ac:dyDescent="0.2">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row>
    <row r="770" spans="1:26" ht="12.75" customHeight="1" x14ac:dyDescent="0.2">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row>
    <row r="771" spans="1:26" ht="12.75" customHeight="1" x14ac:dyDescent="0.2">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row>
    <row r="772" spans="1:26" ht="12.75" customHeight="1" x14ac:dyDescent="0.2">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row>
    <row r="773" spans="1:26" ht="12.75" customHeight="1" x14ac:dyDescent="0.2">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row>
    <row r="774" spans="1:26" ht="12.75" customHeight="1" x14ac:dyDescent="0.2">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row>
    <row r="775" spans="1:26" ht="12.75" customHeight="1" x14ac:dyDescent="0.2">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row>
    <row r="776" spans="1:26" ht="12.75" customHeight="1" x14ac:dyDescent="0.2">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row>
    <row r="777" spans="1:26" ht="12.75" customHeight="1" x14ac:dyDescent="0.2">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row>
    <row r="778" spans="1:26" ht="12.75" customHeight="1" x14ac:dyDescent="0.2">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row>
    <row r="779" spans="1:26" ht="12.75" customHeight="1" x14ac:dyDescent="0.2">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row>
    <row r="780" spans="1:26" ht="12.75" customHeight="1" x14ac:dyDescent="0.2">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row>
    <row r="781" spans="1:26" ht="12.75" customHeight="1" x14ac:dyDescent="0.2">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row>
    <row r="782" spans="1:26" ht="12.75" customHeight="1" x14ac:dyDescent="0.2">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row>
    <row r="783" spans="1:26" ht="12.75" customHeight="1" x14ac:dyDescent="0.2">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row>
    <row r="784" spans="1:26" ht="12.75" customHeight="1" x14ac:dyDescent="0.2">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row>
    <row r="785" spans="1:26" ht="12.75" customHeight="1" x14ac:dyDescent="0.2">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row>
    <row r="786" spans="1:26" ht="12.75" customHeight="1" x14ac:dyDescent="0.2">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row>
    <row r="787" spans="1:26" ht="12.75" customHeight="1" x14ac:dyDescent="0.2">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row>
    <row r="788" spans="1:26" ht="12.75" customHeight="1" x14ac:dyDescent="0.2">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row>
    <row r="789" spans="1:26" ht="12.75" customHeight="1" x14ac:dyDescent="0.2">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row>
    <row r="790" spans="1:26" ht="12.75" customHeight="1" x14ac:dyDescent="0.2">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row>
    <row r="791" spans="1:26" ht="12.75" customHeight="1" x14ac:dyDescent="0.2">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row>
    <row r="792" spans="1:26" ht="12.75" customHeight="1" x14ac:dyDescent="0.2">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row>
    <row r="793" spans="1:26" ht="12.75" customHeight="1" x14ac:dyDescent="0.2">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row>
    <row r="794" spans="1:26" ht="12.75" customHeight="1" x14ac:dyDescent="0.2">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row>
    <row r="795" spans="1:26" ht="12.75" customHeight="1" x14ac:dyDescent="0.2">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row>
    <row r="796" spans="1:26" ht="12.75" customHeight="1" x14ac:dyDescent="0.2">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row>
    <row r="797" spans="1:26" ht="12.75" customHeight="1" x14ac:dyDescent="0.2">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row>
    <row r="798" spans="1:26" ht="12.75" customHeight="1" x14ac:dyDescent="0.2">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row>
    <row r="799" spans="1:26" ht="12.75" customHeight="1" x14ac:dyDescent="0.2">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row>
    <row r="800" spans="1:26" ht="12.75" customHeight="1" x14ac:dyDescent="0.2">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row>
    <row r="801" spans="1:26" ht="12.75" customHeight="1" x14ac:dyDescent="0.2">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row>
    <row r="802" spans="1:26" ht="12.75" customHeight="1" x14ac:dyDescent="0.2">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row>
    <row r="803" spans="1:26" ht="12.75" customHeight="1" x14ac:dyDescent="0.2">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row>
    <row r="804" spans="1:26" ht="12.75" customHeight="1" x14ac:dyDescent="0.2">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row>
    <row r="805" spans="1:26" ht="12.75" customHeight="1" x14ac:dyDescent="0.2">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row>
    <row r="806" spans="1:26" ht="12.75" customHeight="1" x14ac:dyDescent="0.2">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row>
    <row r="807" spans="1:26" ht="12.75" customHeight="1" x14ac:dyDescent="0.2">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row>
    <row r="808" spans="1:26" ht="12.75" customHeight="1" x14ac:dyDescent="0.2">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row>
    <row r="809" spans="1:26" ht="12.75" customHeight="1" x14ac:dyDescent="0.2">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row>
    <row r="810" spans="1:26" ht="12.75" customHeight="1" x14ac:dyDescent="0.2">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row>
    <row r="811" spans="1:26" ht="12.75" customHeight="1" x14ac:dyDescent="0.2">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row>
    <row r="812" spans="1:26" ht="12.75" customHeight="1" x14ac:dyDescent="0.2">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row>
    <row r="813" spans="1:26" ht="12.75" customHeight="1" x14ac:dyDescent="0.2">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row>
    <row r="814" spans="1:26" ht="12.75" customHeight="1" x14ac:dyDescent="0.2">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row>
    <row r="815" spans="1:26" ht="12.75" customHeight="1" x14ac:dyDescent="0.2">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row>
    <row r="816" spans="1:26" ht="12.75" customHeight="1" x14ac:dyDescent="0.2">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row>
    <row r="817" spans="1:26" ht="12.75" customHeight="1" x14ac:dyDescent="0.2">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row>
    <row r="818" spans="1:26" ht="12.75" customHeight="1" x14ac:dyDescent="0.2">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row>
    <row r="819" spans="1:26" ht="12.75" customHeight="1" x14ac:dyDescent="0.2">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row>
    <row r="820" spans="1:26" ht="12.75" customHeight="1" x14ac:dyDescent="0.2">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row>
    <row r="821" spans="1:26" ht="12.75" customHeight="1" x14ac:dyDescent="0.2">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row>
    <row r="822" spans="1:26" ht="12.75" customHeight="1" x14ac:dyDescent="0.2">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row>
    <row r="823" spans="1:26" ht="12.75" customHeight="1" x14ac:dyDescent="0.2">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row>
    <row r="824" spans="1:26" ht="12.75" customHeight="1" x14ac:dyDescent="0.2">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row>
    <row r="825" spans="1:26" ht="12.75" customHeight="1" x14ac:dyDescent="0.2">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row>
    <row r="826" spans="1:26" ht="12.75" customHeight="1" x14ac:dyDescent="0.2">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row>
    <row r="827" spans="1:26" ht="12.75" customHeight="1" x14ac:dyDescent="0.2">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row>
    <row r="828" spans="1:26" ht="12.75" customHeight="1" x14ac:dyDescent="0.2">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row>
    <row r="829" spans="1:26" ht="12.75" customHeight="1" x14ac:dyDescent="0.2">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row>
    <row r="830" spans="1:26" ht="12.75" customHeight="1" x14ac:dyDescent="0.2">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row>
    <row r="831" spans="1:26" ht="12.75" customHeight="1" x14ac:dyDescent="0.2">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row>
    <row r="832" spans="1:26" ht="12.75" customHeight="1" x14ac:dyDescent="0.2">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row>
    <row r="833" spans="1:26" ht="12.75" customHeight="1" x14ac:dyDescent="0.2">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row>
    <row r="834" spans="1:26" ht="12.75" customHeight="1" x14ac:dyDescent="0.2">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row>
    <row r="835" spans="1:26" ht="12.75" customHeight="1" x14ac:dyDescent="0.2">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row>
    <row r="836" spans="1:26" ht="12.75" customHeight="1" x14ac:dyDescent="0.2">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row>
    <row r="837" spans="1:26" ht="12.75" customHeight="1" x14ac:dyDescent="0.2">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row>
    <row r="838" spans="1:26" ht="12.75" customHeight="1" x14ac:dyDescent="0.2">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row>
    <row r="839" spans="1:26" ht="12.75" customHeight="1" x14ac:dyDescent="0.2">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row>
    <row r="840" spans="1:26" ht="12.75" customHeight="1" x14ac:dyDescent="0.2">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row>
    <row r="841" spans="1:26" ht="12.75" customHeight="1" x14ac:dyDescent="0.2">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row>
    <row r="842" spans="1:26" ht="12.75" customHeight="1" x14ac:dyDescent="0.2">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row>
    <row r="843" spans="1:26" ht="12.75" customHeight="1" x14ac:dyDescent="0.2">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row>
    <row r="844" spans="1:26" ht="12.75" customHeight="1" x14ac:dyDescent="0.2">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row>
    <row r="845" spans="1:26" ht="12.75" customHeight="1" x14ac:dyDescent="0.2">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row>
    <row r="846" spans="1:26" ht="12.75" customHeight="1" x14ac:dyDescent="0.2">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row>
    <row r="847" spans="1:26" ht="12.75" customHeight="1" x14ac:dyDescent="0.2">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row>
    <row r="848" spans="1:26" ht="12.75" customHeight="1" x14ac:dyDescent="0.2">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row>
    <row r="849" spans="1:26" ht="12.75" customHeight="1" x14ac:dyDescent="0.2">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row>
    <row r="850" spans="1:26" ht="12.75" customHeight="1" x14ac:dyDescent="0.2">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row>
    <row r="851" spans="1:26" ht="12.75" customHeight="1" x14ac:dyDescent="0.2">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row>
    <row r="852" spans="1:26" ht="12.75" customHeight="1" x14ac:dyDescent="0.2">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row>
    <row r="853" spans="1:26" ht="12.75" customHeight="1" x14ac:dyDescent="0.2">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row>
    <row r="854" spans="1:26" ht="12.75" customHeight="1" x14ac:dyDescent="0.2">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row>
    <row r="855" spans="1:26" ht="12.75" customHeight="1" x14ac:dyDescent="0.2">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row>
    <row r="856" spans="1:26" ht="12.75" customHeight="1" x14ac:dyDescent="0.2">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row>
    <row r="857" spans="1:26" ht="12.75" customHeight="1" x14ac:dyDescent="0.2">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row>
    <row r="858" spans="1:26" ht="12.75" customHeight="1" x14ac:dyDescent="0.2">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row>
    <row r="859" spans="1:26" ht="12.75" customHeight="1" x14ac:dyDescent="0.2">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row>
    <row r="860" spans="1:26" ht="12.75" customHeight="1" x14ac:dyDescent="0.2">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row>
    <row r="861" spans="1:26" ht="12.75" customHeight="1" x14ac:dyDescent="0.2">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row>
    <row r="862" spans="1:26" ht="12.75" customHeight="1" x14ac:dyDescent="0.2">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row>
    <row r="863" spans="1:26" ht="12.75" customHeight="1" x14ac:dyDescent="0.2">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row>
    <row r="864" spans="1:26" ht="12.75" customHeight="1" x14ac:dyDescent="0.2">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row>
    <row r="865" spans="1:26" ht="12.75" customHeight="1" x14ac:dyDescent="0.2">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row>
    <row r="866" spans="1:26" ht="12.75" customHeight="1" x14ac:dyDescent="0.2">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row>
    <row r="867" spans="1:26" ht="12.75" customHeight="1" x14ac:dyDescent="0.2">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row>
    <row r="868" spans="1:26" ht="12.75" customHeight="1" x14ac:dyDescent="0.2">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row>
    <row r="869" spans="1:26" ht="12.75" customHeight="1" x14ac:dyDescent="0.2">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row>
    <row r="870" spans="1:26" ht="12.75" customHeight="1" x14ac:dyDescent="0.2">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row>
    <row r="871" spans="1:26" ht="12.75" customHeight="1" x14ac:dyDescent="0.2">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row>
    <row r="872" spans="1:26" ht="12.75" customHeight="1" x14ac:dyDescent="0.2">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row>
    <row r="873" spans="1:26" ht="12.75" customHeight="1" x14ac:dyDescent="0.2">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row>
    <row r="874" spans="1:26" ht="12.75" customHeight="1" x14ac:dyDescent="0.2">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row>
    <row r="875" spans="1:26" ht="12.75" customHeight="1" x14ac:dyDescent="0.2">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row>
    <row r="876" spans="1:26" ht="12.75" customHeight="1" x14ac:dyDescent="0.2">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row>
    <row r="877" spans="1:26" ht="12.75" customHeight="1" x14ac:dyDescent="0.2">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row>
    <row r="878" spans="1:26" ht="12.75" customHeight="1" x14ac:dyDescent="0.2">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row>
    <row r="879" spans="1:26" ht="12.75" customHeight="1" x14ac:dyDescent="0.2">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row>
    <row r="880" spans="1:26" ht="12.75" customHeight="1" x14ac:dyDescent="0.2">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row>
    <row r="881" spans="1:26" ht="12.75" customHeight="1" x14ac:dyDescent="0.2">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row>
    <row r="882" spans="1:26" ht="12.75" customHeight="1" x14ac:dyDescent="0.2">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row>
    <row r="883" spans="1:26" ht="12.75" customHeight="1" x14ac:dyDescent="0.2">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row>
    <row r="884" spans="1:26" ht="12.75" customHeight="1" x14ac:dyDescent="0.2">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row>
    <row r="885" spans="1:26" ht="12.75" customHeight="1" x14ac:dyDescent="0.2">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row>
    <row r="886" spans="1:26" ht="12.75" customHeight="1" x14ac:dyDescent="0.2">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row>
    <row r="887" spans="1:26" ht="12.75" customHeight="1" x14ac:dyDescent="0.2">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row>
    <row r="888" spans="1:26" ht="12.75" customHeight="1" x14ac:dyDescent="0.2">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row>
    <row r="889" spans="1:26" ht="12.75" customHeight="1" x14ac:dyDescent="0.2">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row>
    <row r="890" spans="1:26" ht="12.75" customHeight="1" x14ac:dyDescent="0.2">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row>
    <row r="891" spans="1:26" ht="12.75" customHeight="1" x14ac:dyDescent="0.2">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row>
    <row r="892" spans="1:26" ht="12.75" customHeight="1" x14ac:dyDescent="0.2">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row>
    <row r="893" spans="1:26" ht="12.75" customHeight="1" x14ac:dyDescent="0.2">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row>
    <row r="894" spans="1:26" ht="12.75" customHeight="1" x14ac:dyDescent="0.2">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row>
    <row r="895" spans="1:26" ht="12.75" customHeight="1" x14ac:dyDescent="0.2">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row>
    <row r="896" spans="1:26" ht="12.75" customHeight="1" x14ac:dyDescent="0.2">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row>
    <row r="897" spans="1:26" ht="12.75" customHeight="1" x14ac:dyDescent="0.2">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row>
    <row r="898" spans="1:26" ht="12.75" customHeight="1" x14ac:dyDescent="0.2">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row>
    <row r="899" spans="1:26" ht="12.75" customHeight="1" x14ac:dyDescent="0.2">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row>
    <row r="900" spans="1:26" ht="12.75" customHeight="1" x14ac:dyDescent="0.2">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row>
    <row r="901" spans="1:26" ht="12.75" customHeight="1" x14ac:dyDescent="0.2">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row>
    <row r="902" spans="1:26" ht="12.75" customHeight="1" x14ac:dyDescent="0.2">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row>
    <row r="903" spans="1:26" ht="12.75" customHeight="1" x14ac:dyDescent="0.2">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row>
    <row r="904" spans="1:26" ht="12.75" customHeight="1" x14ac:dyDescent="0.2">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row>
    <row r="905" spans="1:26" ht="12.75" customHeight="1" x14ac:dyDescent="0.2">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row>
    <row r="906" spans="1:26" ht="12.75" customHeight="1" x14ac:dyDescent="0.2">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row>
    <row r="907" spans="1:26" ht="12.75" customHeight="1" x14ac:dyDescent="0.2">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row>
    <row r="908" spans="1:26" ht="12.75" customHeight="1" x14ac:dyDescent="0.2">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row>
    <row r="909" spans="1:26" ht="12.75" customHeight="1" x14ac:dyDescent="0.2">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row>
    <row r="910" spans="1:26" ht="12.75" customHeight="1" x14ac:dyDescent="0.2">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row>
    <row r="911" spans="1:26" ht="12.75" customHeight="1" x14ac:dyDescent="0.2">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row>
    <row r="912" spans="1:26" ht="12.75" customHeight="1" x14ac:dyDescent="0.2">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row>
    <row r="913" spans="1:26" ht="12.75" customHeight="1" x14ac:dyDescent="0.2">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row>
    <row r="914" spans="1:26" ht="12.75" customHeight="1" x14ac:dyDescent="0.2">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row>
    <row r="915" spans="1:26" ht="12.75" customHeight="1" x14ac:dyDescent="0.2">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row>
    <row r="916" spans="1:26" ht="12.75" customHeight="1" x14ac:dyDescent="0.2">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row>
    <row r="917" spans="1:26" ht="12.75" customHeight="1" x14ac:dyDescent="0.2">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row>
    <row r="918" spans="1:26" ht="12.75" customHeight="1" x14ac:dyDescent="0.2">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row>
    <row r="919" spans="1:26" ht="12.75" customHeight="1" x14ac:dyDescent="0.2">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row>
    <row r="920" spans="1:26" ht="12.75" customHeight="1" x14ac:dyDescent="0.2">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row>
    <row r="921" spans="1:26" ht="12.75" customHeight="1" x14ac:dyDescent="0.2">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row>
    <row r="922" spans="1:26" ht="12.75" customHeight="1" x14ac:dyDescent="0.2">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row>
    <row r="923" spans="1:26" ht="12.75" customHeight="1" x14ac:dyDescent="0.2">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row>
    <row r="924" spans="1:26" ht="12.75" customHeight="1" x14ac:dyDescent="0.2">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row>
    <row r="925" spans="1:26" ht="12.75" customHeight="1" x14ac:dyDescent="0.2">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row>
    <row r="926" spans="1:26" ht="12.75" customHeight="1" x14ac:dyDescent="0.2">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row>
    <row r="927" spans="1:26" ht="12.75" customHeight="1" x14ac:dyDescent="0.2">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row>
    <row r="928" spans="1:26" ht="12.75" customHeight="1" x14ac:dyDescent="0.2">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row>
    <row r="929" spans="1:26" ht="12.75" customHeight="1" x14ac:dyDescent="0.2">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row>
    <row r="930" spans="1:26" ht="12.75" customHeight="1" x14ac:dyDescent="0.2">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row>
    <row r="931" spans="1:26" ht="12.75" customHeight="1" x14ac:dyDescent="0.2">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row>
    <row r="932" spans="1:26" ht="12.75" customHeight="1" x14ac:dyDescent="0.2">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row>
    <row r="933" spans="1:26" ht="12.75" customHeight="1" x14ac:dyDescent="0.2">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row>
    <row r="934" spans="1:26" ht="12.75" customHeight="1" x14ac:dyDescent="0.2">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row>
    <row r="935" spans="1:26" ht="12.75" customHeight="1" x14ac:dyDescent="0.2">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row>
    <row r="936" spans="1:26" ht="12.75" customHeight="1" x14ac:dyDescent="0.2">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row>
    <row r="937" spans="1:26" ht="12.75" customHeight="1" x14ac:dyDescent="0.2">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row>
    <row r="938" spans="1:26" ht="12.75" customHeight="1" x14ac:dyDescent="0.2">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row>
    <row r="939" spans="1:26" ht="12.75" customHeight="1" x14ac:dyDescent="0.2">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row>
    <row r="940" spans="1:26" ht="12.75" customHeight="1" x14ac:dyDescent="0.2">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row>
    <row r="941" spans="1:26" ht="12.75" customHeight="1" x14ac:dyDescent="0.2">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row>
    <row r="942" spans="1:26" ht="12.75" customHeight="1" x14ac:dyDescent="0.2">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row>
    <row r="943" spans="1:26" ht="12.75" customHeight="1" x14ac:dyDescent="0.2">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row>
    <row r="944" spans="1:26" ht="12.75" customHeight="1" x14ac:dyDescent="0.2">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row>
    <row r="945" spans="1:26" ht="12.75" customHeight="1" x14ac:dyDescent="0.2">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row>
    <row r="946" spans="1:26" ht="12.75" customHeight="1" x14ac:dyDescent="0.2">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row>
    <row r="947" spans="1:26" ht="12.75" customHeight="1" x14ac:dyDescent="0.2">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row>
    <row r="948" spans="1:26" ht="12.75" customHeight="1" x14ac:dyDescent="0.2">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row>
    <row r="949" spans="1:26" ht="12.75" customHeight="1" x14ac:dyDescent="0.2">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row>
    <row r="950" spans="1:26" ht="12.75" customHeight="1" x14ac:dyDescent="0.2">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row>
    <row r="951" spans="1:26" ht="12.75" customHeight="1" x14ac:dyDescent="0.2">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row>
    <row r="952" spans="1:26" ht="12.75" customHeight="1" x14ac:dyDescent="0.2">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row>
    <row r="953" spans="1:26" ht="12.75" customHeight="1" x14ac:dyDescent="0.2">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row>
    <row r="954" spans="1:26" ht="12.75" customHeight="1" x14ac:dyDescent="0.2">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row>
    <row r="955" spans="1:26" ht="12.75" customHeight="1" x14ac:dyDescent="0.2">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row>
    <row r="956" spans="1:26" ht="12.75" customHeight="1" x14ac:dyDescent="0.2">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row>
    <row r="957" spans="1:26" ht="12.75" customHeight="1" x14ac:dyDescent="0.2">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row>
    <row r="958" spans="1:26" ht="12.75" customHeight="1" x14ac:dyDescent="0.2">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row>
    <row r="959" spans="1:26" ht="12.75" customHeight="1" x14ac:dyDescent="0.2">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row>
    <row r="960" spans="1:26" ht="12.75" customHeight="1" x14ac:dyDescent="0.2">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row>
    <row r="961" spans="1:26" ht="12.75" customHeight="1" x14ac:dyDescent="0.2">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row>
    <row r="962" spans="1:26" ht="12.75" customHeight="1" x14ac:dyDescent="0.2">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row>
    <row r="963" spans="1:26" ht="12.75" customHeight="1" x14ac:dyDescent="0.2">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row>
    <row r="964" spans="1:26" ht="12.75" customHeight="1" x14ac:dyDescent="0.2">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row>
    <row r="965" spans="1:26" ht="12.75" customHeight="1" x14ac:dyDescent="0.2">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row>
    <row r="966" spans="1:26" ht="12.75" customHeight="1" x14ac:dyDescent="0.2">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row>
    <row r="967" spans="1:26" ht="12.75" customHeight="1" x14ac:dyDescent="0.2">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row>
    <row r="968" spans="1:26" ht="12.75" customHeight="1" x14ac:dyDescent="0.2">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row>
    <row r="969" spans="1:26" ht="12.75" customHeight="1" x14ac:dyDescent="0.2">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row>
    <row r="970" spans="1:26" ht="12.75" customHeight="1" x14ac:dyDescent="0.2">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row>
    <row r="971" spans="1:26" ht="12.75" customHeight="1" x14ac:dyDescent="0.2">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row>
    <row r="972" spans="1:26" ht="12.75" customHeight="1" x14ac:dyDescent="0.2">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row>
    <row r="973" spans="1:26" ht="12.75" customHeight="1" x14ac:dyDescent="0.2">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row>
    <row r="974" spans="1:26" ht="12.75" customHeight="1" x14ac:dyDescent="0.2">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row>
    <row r="975" spans="1:26" ht="12.75" customHeight="1" x14ac:dyDescent="0.2">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row>
    <row r="976" spans="1:26" ht="12.75" customHeight="1" x14ac:dyDescent="0.2">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row>
    <row r="977" spans="1:26" ht="12.75" customHeight="1" x14ac:dyDescent="0.2">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row>
    <row r="978" spans="1:26" ht="12.75" customHeight="1" x14ac:dyDescent="0.2">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row>
    <row r="979" spans="1:26" ht="12.75" customHeight="1" x14ac:dyDescent="0.2">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row>
    <row r="980" spans="1:26" ht="12.75" customHeight="1" x14ac:dyDescent="0.2">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row>
    <row r="981" spans="1:26" ht="12.75" customHeight="1" x14ac:dyDescent="0.2">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row>
    <row r="982" spans="1:26" ht="12.75" customHeight="1" x14ac:dyDescent="0.2">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row>
    <row r="983" spans="1:26" ht="12.75" customHeight="1" x14ac:dyDescent="0.2">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row>
    <row r="984" spans="1:26" ht="12.75" customHeight="1" x14ac:dyDescent="0.2">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row>
    <row r="985" spans="1:26" ht="12.75" customHeight="1" x14ac:dyDescent="0.2">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row>
    <row r="986" spans="1:26" ht="12.75" customHeight="1" x14ac:dyDescent="0.2">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row>
    <row r="987" spans="1:26" ht="12.75" customHeight="1" x14ac:dyDescent="0.2">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row>
    <row r="988" spans="1:26" ht="12.75" customHeight="1" x14ac:dyDescent="0.2">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row>
    <row r="989" spans="1:26" ht="12.75" customHeight="1" x14ac:dyDescent="0.2">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row>
    <row r="990" spans="1:26" ht="12.75" customHeight="1" x14ac:dyDescent="0.2">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row>
    <row r="991" spans="1:26" ht="12.75" customHeight="1" x14ac:dyDescent="0.2">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row>
    <row r="992" spans="1:26" ht="12.75" customHeight="1" x14ac:dyDescent="0.2">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row>
    <row r="993" spans="1:26" ht="12.75" customHeight="1" x14ac:dyDescent="0.2">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row>
    <row r="994" spans="1:26" ht="12.75" customHeight="1" x14ac:dyDescent="0.2">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row>
    <row r="995" spans="1:26" ht="12.75" customHeight="1" x14ac:dyDescent="0.2">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row>
    <row r="996" spans="1:26" ht="12.75" customHeight="1" x14ac:dyDescent="0.2">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row>
    <row r="997" spans="1:26" ht="12.75" customHeight="1" x14ac:dyDescent="0.2">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row>
    <row r="998" spans="1:26" ht="12.75" customHeight="1" x14ac:dyDescent="0.2">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row>
    <row r="999" spans="1:26" ht="12.75" customHeight="1" x14ac:dyDescent="0.2">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Rodrigo Barrero Muñoz</cp:lastModifiedBy>
  <dcterms:created xsi:type="dcterms:W3CDTF">2020-03-24T23:12:47Z</dcterms:created>
  <dcterms:modified xsi:type="dcterms:W3CDTF">2025-03-28T02:42:16Z</dcterms:modified>
</cp:coreProperties>
</file>